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Drive Comum\CURSOS DE FERIAS\CURSO MODELAGEM FINANCEIRA\"/>
    </mc:Choice>
  </mc:AlternateContent>
  <xr:revisionPtr revIDLastSave="0" documentId="13_ncr:1_{86A02824-FEBF-42D9-9136-6828DA27B1CF}" xr6:coauthVersionLast="47" xr6:coauthVersionMax="47" xr10:uidLastSave="{00000000-0000-0000-0000-000000000000}"/>
  <bookViews>
    <workbookView xWindow="-108" yWindow="-108" windowWidth="23256" windowHeight="13176" tabRatio="839" activeTab="10" xr2:uid="{F4DC78D9-674B-4FE5-8F5F-425F2307D0E8}"/>
  </bookViews>
  <sheets>
    <sheet name="Scenarios" sheetId="22" r:id="rId1"/>
    <sheet name="Comparable Multiples" sheetId="19" r:id="rId2"/>
    <sheet name="Beta" sheetId="17" r:id="rId3"/>
    <sheet name="DCF Analysis" sheetId="18" r:id="rId4"/>
    <sheet name="Discount Factor" sheetId="16" r:id="rId5"/>
    <sheet name="Non controlling Interest" sheetId="15" r:id="rId6"/>
    <sheet name="IS" sheetId="1" r:id="rId7"/>
    <sheet name="BS" sheetId="4" r:id="rId8"/>
    <sheet name="CFS" sheetId="10" r:id="rId9"/>
    <sheet name="Capex and D&amp;A" sheetId="13" r:id="rId10"/>
    <sheet name="Debt and Acquisition Schedule" sheetId="14" r:id="rId11"/>
    <sheet name="Build-Up" sheetId="11" r:id="rId12"/>
    <sheet name="Macro and Sector Data" sheetId="12" r:id="rId13"/>
  </sheets>
  <externalReferences>
    <externalReference r:id="rId14"/>
    <externalReference r:id="rId15"/>
    <externalReference r:id="rId16"/>
    <externalReference r:id="rId17"/>
  </externalReference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O34" i="22"/>
  <c r="N34" i="22"/>
  <c r="M34" i="22"/>
  <c r="L34" i="22"/>
  <c r="K34" i="22"/>
  <c r="J34" i="22"/>
  <c r="I34" i="22"/>
  <c r="H34" i="22"/>
  <c r="G34" i="22"/>
  <c r="F34" i="22"/>
  <c r="E34" i="22"/>
  <c r="D34" i="22"/>
  <c r="C34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C32" i="22"/>
  <c r="C31" i="22"/>
  <c r="O35" i="22" s="1"/>
  <c r="AH47" i="11" s="1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C23" i="22"/>
  <c r="G27" i="22" s="1"/>
  <c r="Z44" i="11" s="1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C15" i="22"/>
  <c r="K19" i="22" s="1"/>
  <c r="AD13" i="13" s="1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C7" i="22"/>
  <c r="O11" i="22" s="1"/>
  <c r="AH20" i="11" s="1"/>
  <c r="H27" i="22" l="1"/>
  <c r="AA44" i="11" s="1"/>
  <c r="D11" i="22"/>
  <c r="W20" i="11" s="1"/>
  <c r="I27" i="22"/>
  <c r="AB44" i="11" s="1"/>
  <c r="E11" i="22"/>
  <c r="X20" i="11" s="1"/>
  <c r="J27" i="22"/>
  <c r="AC44" i="11" s="1"/>
  <c r="F11" i="22"/>
  <c r="Y20" i="11" s="1"/>
  <c r="K27" i="22"/>
  <c r="AD44" i="11" s="1"/>
  <c r="H11" i="22"/>
  <c r="AA20" i="11" s="1"/>
  <c r="G11" i="22"/>
  <c r="Z20" i="11" s="1"/>
  <c r="D35" i="22"/>
  <c r="W47" i="11" s="1"/>
  <c r="E35" i="22"/>
  <c r="X47" i="11" s="1"/>
  <c r="F35" i="22"/>
  <c r="Y47" i="11" s="1"/>
  <c r="G35" i="22"/>
  <c r="Z47" i="11" s="1"/>
  <c r="H35" i="22"/>
  <c r="AA47" i="11" s="1"/>
  <c r="I11" i="22"/>
  <c r="AB20" i="11" s="1"/>
  <c r="E19" i="22"/>
  <c r="X13" i="13" s="1"/>
  <c r="M27" i="22"/>
  <c r="AF44" i="11" s="1"/>
  <c r="I35" i="22"/>
  <c r="AB47" i="11" s="1"/>
  <c r="J11" i="22"/>
  <c r="AC20" i="11" s="1"/>
  <c r="F19" i="22"/>
  <c r="Y13" i="13" s="1"/>
  <c r="N27" i="22"/>
  <c r="AG44" i="11" s="1"/>
  <c r="J35" i="22"/>
  <c r="AC47" i="11" s="1"/>
  <c r="D19" i="22"/>
  <c r="W13" i="13" s="1"/>
  <c r="K11" i="22"/>
  <c r="AD20" i="11" s="1"/>
  <c r="G19" i="22"/>
  <c r="Z13" i="13" s="1"/>
  <c r="C27" i="22"/>
  <c r="V44" i="11" s="1"/>
  <c r="O27" i="22"/>
  <c r="AH44" i="11" s="1"/>
  <c r="K35" i="22"/>
  <c r="AD47" i="11" s="1"/>
  <c r="L11" i="22"/>
  <c r="AE20" i="11" s="1"/>
  <c r="H19" i="22"/>
  <c r="AA13" i="13" s="1"/>
  <c r="D27" i="22"/>
  <c r="W44" i="11" s="1"/>
  <c r="L35" i="22"/>
  <c r="AE47" i="11" s="1"/>
  <c r="N19" i="22"/>
  <c r="AG13" i="13" s="1"/>
  <c r="O19" i="22"/>
  <c r="AH13" i="13" s="1"/>
  <c r="M11" i="22"/>
  <c r="AF20" i="11" s="1"/>
  <c r="I19" i="22"/>
  <c r="AB13" i="13" s="1"/>
  <c r="E27" i="22"/>
  <c r="X44" i="11" s="1"/>
  <c r="M35" i="22"/>
  <c r="AF47" i="11" s="1"/>
  <c r="L19" i="22"/>
  <c r="AE13" i="13" s="1"/>
  <c r="L27" i="22"/>
  <c r="AE44" i="11" s="1"/>
  <c r="N11" i="22"/>
  <c r="AG20" i="11" s="1"/>
  <c r="J19" i="22"/>
  <c r="AC13" i="13" s="1"/>
  <c r="F27" i="22"/>
  <c r="Y44" i="11" s="1"/>
  <c r="N35" i="22"/>
  <c r="AG47" i="11" s="1"/>
  <c r="M19" i="22"/>
  <c r="AF13" i="13" s="1"/>
  <c r="C19" i="22"/>
  <c r="V13" i="13" s="1"/>
  <c r="C11" i="22"/>
  <c r="V20" i="11" s="1"/>
  <c r="C35" i="22"/>
  <c r="V47" i="11" s="1"/>
  <c r="AF3" i="18" l="1"/>
  <c r="AG3" i="18" s="1"/>
  <c r="AE3" i="18"/>
  <c r="AB3" i="18"/>
  <c r="AA3" i="18"/>
  <c r="AC3" i="18"/>
  <c r="AD3" i="18"/>
  <c r="Z7" i="18"/>
  <c r="Z8" i="18" s="1"/>
  <c r="Z9" i="18" s="1"/>
  <c r="Z10" i="18" s="1"/>
  <c r="AF13" i="18"/>
  <c r="AG13" i="18" s="1"/>
  <c r="AE13" i="18"/>
  <c r="AB13" i="18"/>
  <c r="AA13" i="18" s="1"/>
  <c r="AC13" i="18"/>
  <c r="Z14" i="18"/>
  <c r="Z19" i="18"/>
  <c r="Z20" i="18" s="1"/>
  <c r="Z18" i="18"/>
  <c r="Z15" i="18"/>
  <c r="Z16" i="18"/>
  <c r="Q42" i="19"/>
  <c r="Q43" i="19" s="1"/>
  <c r="M42" i="19"/>
  <c r="M43" i="19" s="1"/>
  <c r="Q39" i="19"/>
  <c r="Q40" i="19" s="1"/>
  <c r="Q41" i="19" s="1"/>
  <c r="M39" i="19"/>
  <c r="M40" i="19" s="1"/>
  <c r="M41" i="19" s="1"/>
  <c r="Q36" i="19"/>
  <c r="Q37" i="19" s="1"/>
  <c r="Q38" i="19" s="1"/>
  <c r="M36" i="19"/>
  <c r="M37" i="19" s="1"/>
  <c r="M38" i="19" s="1"/>
  <c r="Q33" i="19"/>
  <c r="Q34" i="19" s="1"/>
  <c r="Q35" i="19" s="1"/>
  <c r="M33" i="19"/>
  <c r="M34" i="19" s="1"/>
  <c r="M35" i="19" s="1"/>
  <c r="Q30" i="19"/>
  <c r="Q31" i="19" s="1"/>
  <c r="Q32" i="19" s="1"/>
  <c r="M30" i="19"/>
  <c r="M31" i="19" s="1"/>
  <c r="M32" i="19" s="1"/>
  <c r="Q28" i="19"/>
  <c r="Q27" i="19"/>
  <c r="M27" i="19"/>
  <c r="M28" i="19" s="1"/>
  <c r="I43" i="19"/>
  <c r="I40" i="19"/>
  <c r="I41" i="19" s="1"/>
  <c r="I37" i="19"/>
  <c r="I38" i="19" s="1"/>
  <c r="I35" i="19"/>
  <c r="I32" i="19"/>
  <c r="I34" i="19"/>
  <c r="I31" i="19"/>
  <c r="I50" i="19"/>
  <c r="I49" i="19"/>
  <c r="I28" i="19"/>
  <c r="I42" i="19"/>
  <c r="I39" i="19"/>
  <c r="I36" i="19"/>
  <c r="I33" i="19"/>
  <c r="I30" i="19"/>
  <c r="I27" i="19"/>
  <c r="Q10" i="19"/>
  <c r="AD10" i="19" s="1"/>
  <c r="M10" i="19"/>
  <c r="I10" i="19"/>
  <c r="Q48" i="19"/>
  <c r="M48" i="19"/>
  <c r="I48" i="19"/>
  <c r="F10" i="19"/>
  <c r="E10" i="19"/>
  <c r="G6" i="19"/>
  <c r="V6" i="19"/>
  <c r="W6" i="19"/>
  <c r="X6" i="19"/>
  <c r="Z6" i="19"/>
  <c r="AA6" i="19"/>
  <c r="AB6" i="19"/>
  <c r="AD6" i="19"/>
  <c r="AE6" i="19"/>
  <c r="AF6" i="19"/>
  <c r="E7" i="19"/>
  <c r="G7" i="19" s="1"/>
  <c r="V7" i="19"/>
  <c r="W7" i="19"/>
  <c r="X7" i="19"/>
  <c r="Z7" i="19"/>
  <c r="AA7" i="19"/>
  <c r="AB7" i="19"/>
  <c r="AD7" i="19"/>
  <c r="AE7" i="19"/>
  <c r="AF7" i="19"/>
  <c r="E8" i="19"/>
  <c r="G8" i="19" s="1"/>
  <c r="V8" i="19"/>
  <c r="W8" i="19"/>
  <c r="X8" i="19"/>
  <c r="Z8" i="19"/>
  <c r="AA8" i="19"/>
  <c r="AB8" i="19"/>
  <c r="AD8" i="19"/>
  <c r="AE8" i="19"/>
  <c r="AF8" i="19"/>
  <c r="E9" i="19"/>
  <c r="G9" i="19" s="1"/>
  <c r="V9" i="19"/>
  <c r="W9" i="19"/>
  <c r="X9" i="19"/>
  <c r="Z9" i="19"/>
  <c r="AA9" i="19"/>
  <c r="AB9" i="19"/>
  <c r="AD9" i="19"/>
  <c r="AE9" i="19"/>
  <c r="AF9" i="19"/>
  <c r="V11" i="19"/>
  <c r="W11" i="19"/>
  <c r="X11" i="19"/>
  <c r="Z11" i="19"/>
  <c r="AA11" i="19"/>
  <c r="AB11" i="19"/>
  <c r="AD11" i="19"/>
  <c r="AE11" i="19"/>
  <c r="AF11" i="19"/>
  <c r="V12" i="19"/>
  <c r="W12" i="19"/>
  <c r="X12" i="19"/>
  <c r="Z12" i="19"/>
  <c r="AA12" i="19"/>
  <c r="AB12" i="19"/>
  <c r="AD12" i="19"/>
  <c r="AE12" i="19"/>
  <c r="AF12" i="19"/>
  <c r="V13" i="19"/>
  <c r="W13" i="19"/>
  <c r="X13" i="19"/>
  <c r="Z13" i="19"/>
  <c r="AA13" i="19"/>
  <c r="AB13" i="19"/>
  <c r="AD13" i="19"/>
  <c r="AE13" i="19"/>
  <c r="AF13" i="19"/>
  <c r="V14" i="19"/>
  <c r="W14" i="19"/>
  <c r="X14" i="19"/>
  <c r="Z14" i="19"/>
  <c r="AA14" i="19"/>
  <c r="AB14" i="19"/>
  <c r="AD14" i="19"/>
  <c r="AE14" i="19"/>
  <c r="AF14" i="19"/>
  <c r="V15" i="19"/>
  <c r="W15" i="19"/>
  <c r="X15" i="19"/>
  <c r="Z15" i="19"/>
  <c r="AA15" i="19"/>
  <c r="AB15" i="19"/>
  <c r="AD15" i="19"/>
  <c r="AE15" i="19"/>
  <c r="AF15" i="19"/>
  <c r="G16" i="19"/>
  <c r="G17" i="19"/>
  <c r="G18" i="19"/>
  <c r="G19" i="19"/>
  <c r="G20" i="19"/>
  <c r="I21" i="19"/>
  <c r="J21" i="19"/>
  <c r="K21" i="19"/>
  <c r="M21" i="19"/>
  <c r="N21" i="19"/>
  <c r="O21" i="19"/>
  <c r="Q21" i="19"/>
  <c r="R21" i="19"/>
  <c r="S21" i="19"/>
  <c r="Z6" i="18" l="1"/>
  <c r="Z5" i="18" s="1"/>
  <c r="Z4" i="18" s="1"/>
  <c r="Q11" i="19"/>
  <c r="C5" i="18"/>
  <c r="C4" i="18"/>
  <c r="K12" i="18"/>
  <c r="L12" i="18"/>
  <c r="M12" i="18"/>
  <c r="N12" i="18"/>
  <c r="O12" i="18"/>
  <c r="P12" i="18"/>
  <c r="Q12" i="18"/>
  <c r="R12" i="18"/>
  <c r="S12" i="18"/>
  <c r="J12" i="18"/>
  <c r="L29" i="18"/>
  <c r="M29" i="18"/>
  <c r="N29" i="18"/>
  <c r="O29" i="18"/>
  <c r="P29" i="18"/>
  <c r="Q29" i="18"/>
  <c r="R29" i="18"/>
  <c r="S29" i="18"/>
  <c r="K18" i="18"/>
  <c r="L18" i="18"/>
  <c r="M18" i="18"/>
  <c r="N18" i="18"/>
  <c r="O18" i="18"/>
  <c r="P18" i="18"/>
  <c r="Q18" i="18"/>
  <c r="R18" i="18"/>
  <c r="S18" i="18"/>
  <c r="J18" i="18"/>
  <c r="K14" i="18"/>
  <c r="L14" i="18"/>
  <c r="M14" i="18"/>
  <c r="N14" i="18"/>
  <c r="O14" i="18"/>
  <c r="P14" i="18"/>
  <c r="Q14" i="18"/>
  <c r="R14" i="18"/>
  <c r="S14" i="18"/>
  <c r="J14" i="18"/>
  <c r="I5" i="18"/>
  <c r="G5" i="18"/>
  <c r="H5" i="18"/>
  <c r="F5" i="18"/>
  <c r="G2" i="18"/>
  <c r="H2" i="18"/>
  <c r="I2" i="18"/>
  <c r="F2" i="18"/>
  <c r="R8" i="16"/>
  <c r="R7" i="16"/>
  <c r="R5" i="16"/>
  <c r="R6" i="16"/>
  <c r="R4" i="16"/>
  <c r="R3" i="16"/>
  <c r="J13" i="17"/>
  <c r="I13" i="17"/>
  <c r="J6" i="17"/>
  <c r="I6" i="17"/>
  <c r="G6" i="17"/>
  <c r="E6" i="17"/>
  <c r="AE7" i="15"/>
  <c r="AF7" i="15"/>
  <c r="AG7" i="15"/>
  <c r="AH7" i="15"/>
  <c r="AD7" i="15"/>
  <c r="E21" i="17"/>
  <c r="F21" i="17"/>
  <c r="H21" i="17"/>
  <c r="E20" i="17"/>
  <c r="F20" i="17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J34" i="18"/>
  <c r="K34" i="18"/>
  <c r="L34" i="18"/>
  <c r="M34" i="18"/>
  <c r="N34" i="18" s="1"/>
  <c r="O34" i="18" s="1"/>
  <c r="P34" i="18" s="1"/>
  <c r="Q34" i="18" s="1"/>
  <c r="R34" i="18" s="1"/>
  <c r="S34" i="18" s="1"/>
  <c r="J35" i="18"/>
  <c r="K35" i="18" s="1"/>
  <c r="L35" i="18" s="1"/>
  <c r="M35" i="18" s="1"/>
  <c r="N35" i="18" s="1"/>
  <c r="O35" i="18" s="1"/>
  <c r="P35" i="18" s="1"/>
  <c r="Q35" i="18" s="1"/>
  <c r="R35" i="18" s="1"/>
  <c r="S35" i="18" s="1"/>
  <c r="J36" i="18"/>
  <c r="K36" i="18" s="1"/>
  <c r="L36" i="18" s="1"/>
  <c r="M36" i="18" s="1"/>
  <c r="N36" i="18" s="1"/>
  <c r="O36" i="18" s="1"/>
  <c r="P36" i="18"/>
  <c r="Q36" i="18" s="1"/>
  <c r="R36" i="18" s="1"/>
  <c r="S36" i="18" s="1"/>
  <c r="J37" i="18"/>
  <c r="K37" i="18"/>
  <c r="L37" i="18" s="1"/>
  <c r="M37" i="18" s="1"/>
  <c r="N37" i="18" s="1"/>
  <c r="O37" i="18" s="1"/>
  <c r="P37" i="18" s="1"/>
  <c r="Q37" i="18" s="1"/>
  <c r="R37" i="18" s="1"/>
  <c r="S37" i="18" s="1"/>
  <c r="J38" i="18"/>
  <c r="K38" i="18"/>
  <c r="L38" i="18"/>
  <c r="M38" i="18"/>
  <c r="N38" i="18" s="1"/>
  <c r="O38" i="18" s="1"/>
  <c r="P38" i="18" s="1"/>
  <c r="Q38" i="18" s="1"/>
  <c r="R38" i="18" s="1"/>
  <c r="S38" i="18" s="1"/>
  <c r="J39" i="18"/>
  <c r="K39" i="18" s="1"/>
  <c r="L39" i="18" s="1"/>
  <c r="M39" i="18" s="1"/>
  <c r="N39" i="18" s="1"/>
  <c r="O39" i="18"/>
  <c r="P39" i="18" s="1"/>
  <c r="Q39" i="18" s="1"/>
  <c r="R39" i="18" s="1"/>
  <c r="S39" i="18" s="1"/>
  <c r="J40" i="18"/>
  <c r="K40" i="18"/>
  <c r="L40" i="18" s="1"/>
  <c r="M40" i="18" s="1"/>
  <c r="N40" i="18" s="1"/>
  <c r="O40" i="18" s="1"/>
  <c r="P40" i="18" s="1"/>
  <c r="Q40" i="18"/>
  <c r="R40" i="18" s="1"/>
  <c r="S40" i="18" s="1"/>
  <c r="J41" i="18"/>
  <c r="K41" i="18"/>
  <c r="L41" i="18"/>
  <c r="M41" i="18"/>
  <c r="N41" i="18" s="1"/>
  <c r="O41" i="18" s="1"/>
  <c r="P41" i="18" s="1"/>
  <c r="Q41" i="18" s="1"/>
  <c r="R41" i="18" s="1"/>
  <c r="S41" i="18" s="1"/>
  <c r="J42" i="18"/>
  <c r="K42" i="18" s="1"/>
  <c r="L42" i="18" s="1"/>
  <c r="M42" i="18" s="1"/>
  <c r="N42" i="18" s="1"/>
  <c r="O42" i="18" s="1"/>
  <c r="P42" i="18" s="1"/>
  <c r="Q42" i="18" s="1"/>
  <c r="R42" i="18" s="1"/>
  <c r="S42" i="18" s="1"/>
  <c r="J43" i="18"/>
  <c r="K43" i="18"/>
  <c r="L43" i="18" s="1"/>
  <c r="M43" i="18" s="1"/>
  <c r="N43" i="18" s="1"/>
  <c r="O43" i="18" s="1"/>
  <c r="P43" i="18" s="1"/>
  <c r="Q43" i="18"/>
  <c r="R43" i="18" s="1"/>
  <c r="S43" i="18" s="1"/>
  <c r="J44" i="18"/>
  <c r="K44" i="18"/>
  <c r="L44" i="18"/>
  <c r="M44" i="18"/>
  <c r="N44" i="18" s="1"/>
  <c r="O44" i="18" s="1"/>
  <c r="P44" i="18" s="1"/>
  <c r="Q44" i="18" s="1"/>
  <c r="R44" i="18" s="1"/>
  <c r="S44" i="18"/>
  <c r="J45" i="18"/>
  <c r="K45" i="18" s="1"/>
  <c r="L45" i="18" s="1"/>
  <c r="M45" i="18" s="1"/>
  <c r="N45" i="18" s="1"/>
  <c r="O45" i="18" s="1"/>
  <c r="P45" i="18" s="1"/>
  <c r="Q45" i="18" s="1"/>
  <c r="R45" i="18" s="1"/>
  <c r="S45" i="18" s="1"/>
  <c r="J46" i="18"/>
  <c r="K46" i="18"/>
  <c r="L46" i="18" s="1"/>
  <c r="M46" i="18" s="1"/>
  <c r="N46" i="18" s="1"/>
  <c r="O46" i="18" s="1"/>
  <c r="P46" i="18" s="1"/>
  <c r="Q46" i="18" s="1"/>
  <c r="R46" i="18" s="1"/>
  <c r="S46" i="18" s="1"/>
  <c r="J47" i="18"/>
  <c r="K47" i="18"/>
  <c r="L47" i="18"/>
  <c r="M47" i="18"/>
  <c r="N47" i="18" s="1"/>
  <c r="O47" i="18" s="1"/>
  <c r="P47" i="18" s="1"/>
  <c r="Q47" i="18" s="1"/>
  <c r="R47" i="18" s="1"/>
  <c r="S47" i="18" s="1"/>
  <c r="J48" i="18"/>
  <c r="K48" i="18" s="1"/>
  <c r="L48" i="18" s="1"/>
  <c r="M48" i="18" s="1"/>
  <c r="N48" i="18" s="1"/>
  <c r="O48" i="18"/>
  <c r="P48" i="18" s="1"/>
  <c r="Q48" i="18" s="1"/>
  <c r="R48" i="18" s="1"/>
  <c r="S48" i="18" s="1"/>
  <c r="J49" i="18"/>
  <c r="K49" i="18"/>
  <c r="L49" i="18" s="1"/>
  <c r="M49" i="18" s="1"/>
  <c r="N49" i="18" s="1"/>
  <c r="O49" i="18" s="1"/>
  <c r="P49" i="18" s="1"/>
  <c r="Q49" i="18"/>
  <c r="R49" i="18" s="1"/>
  <c r="S49" i="18" s="1"/>
  <c r="J50" i="18"/>
  <c r="K50" i="18"/>
  <c r="L50" i="18"/>
  <c r="M50" i="18"/>
  <c r="N50" i="18" s="1"/>
  <c r="O50" i="18" s="1"/>
  <c r="P50" i="18" s="1"/>
  <c r="Q50" i="18" s="1"/>
  <c r="R50" i="18" s="1"/>
  <c r="S50" i="18" s="1"/>
  <c r="J51" i="18"/>
  <c r="K51" i="18" s="1"/>
  <c r="L51" i="18" s="1"/>
  <c r="M51" i="18" s="1"/>
  <c r="N51" i="18" s="1"/>
  <c r="O51" i="18" s="1"/>
  <c r="P51" i="18" s="1"/>
  <c r="Q51" i="18" s="1"/>
  <c r="R51" i="18" s="1"/>
  <c r="S51" i="18" s="1"/>
  <c r="J52" i="18"/>
  <c r="K52" i="18"/>
  <c r="L52" i="18" s="1"/>
  <c r="M52" i="18" s="1"/>
  <c r="N52" i="18" s="1"/>
  <c r="O52" i="18" s="1"/>
  <c r="P52" i="18" s="1"/>
  <c r="Q52" i="18"/>
  <c r="R52" i="18" s="1"/>
  <c r="S52" i="18" s="1"/>
  <c r="J53" i="18"/>
  <c r="K53" i="18"/>
  <c r="L53" i="18"/>
  <c r="M53" i="18"/>
  <c r="N53" i="18" s="1"/>
  <c r="O53" i="18" s="1"/>
  <c r="P53" i="18" s="1"/>
  <c r="Q53" i="18" s="1"/>
  <c r="R53" i="18" s="1"/>
  <c r="S53" i="18"/>
  <c r="J54" i="18"/>
  <c r="K54" i="18" s="1"/>
  <c r="L54" i="18" s="1"/>
  <c r="M54" i="18" s="1"/>
  <c r="N54" i="18" s="1"/>
  <c r="O54" i="18" s="1"/>
  <c r="P54" i="18" s="1"/>
  <c r="Q54" i="18" s="1"/>
  <c r="R54" i="18" s="1"/>
  <c r="S54" i="18" s="1"/>
  <c r="J55" i="18"/>
  <c r="K55" i="18"/>
  <c r="L55" i="18" s="1"/>
  <c r="M55" i="18" s="1"/>
  <c r="N55" i="18" s="1"/>
  <c r="O55" i="18" s="1"/>
  <c r="P55" i="18" s="1"/>
  <c r="Q55" i="18" s="1"/>
  <c r="R55" i="18" s="1"/>
  <c r="S55" i="18" s="1"/>
  <c r="J56" i="18"/>
  <c r="K56" i="18"/>
  <c r="L56" i="18"/>
  <c r="M56" i="18"/>
  <c r="N56" i="18" s="1"/>
  <c r="O56" i="18" s="1"/>
  <c r="P56" i="18" s="1"/>
  <c r="Q56" i="18" s="1"/>
  <c r="R56" i="18" s="1"/>
  <c r="S56" i="18" s="1"/>
  <c r="J57" i="18"/>
  <c r="K57" i="18" s="1"/>
  <c r="L57" i="18" s="1"/>
  <c r="M57" i="18" s="1"/>
  <c r="N57" i="18" s="1"/>
  <c r="O57" i="18"/>
  <c r="P57" i="18" s="1"/>
  <c r="Q57" i="18" s="1"/>
  <c r="R57" i="18" s="1"/>
  <c r="S57" i="18" s="1"/>
  <c r="J58" i="18"/>
  <c r="K58" i="18"/>
  <c r="L58" i="18" s="1"/>
  <c r="M58" i="18" s="1"/>
  <c r="N58" i="18" s="1"/>
  <c r="O58" i="18" s="1"/>
  <c r="P58" i="18" s="1"/>
  <c r="Q58" i="18"/>
  <c r="R58" i="18" s="1"/>
  <c r="S58" i="18" s="1"/>
  <c r="J59" i="18"/>
  <c r="K59" i="18"/>
  <c r="L59" i="18"/>
  <c r="M59" i="18"/>
  <c r="N59" i="18" s="1"/>
  <c r="O59" i="18" s="1"/>
  <c r="P59" i="18" s="1"/>
  <c r="Q59" i="18" s="1"/>
  <c r="R59" i="18" s="1"/>
  <c r="S59" i="18" s="1"/>
  <c r="J60" i="18"/>
  <c r="K60" i="18" s="1"/>
  <c r="L60" i="18" s="1"/>
  <c r="M60" i="18" s="1"/>
  <c r="N60" i="18" s="1"/>
  <c r="O60" i="18" s="1"/>
  <c r="P60" i="18" s="1"/>
  <c r="Q60" i="18" s="1"/>
  <c r="R60" i="18" s="1"/>
  <c r="S60" i="18" s="1"/>
  <c r="J61" i="18"/>
  <c r="K61" i="18"/>
  <c r="L61" i="18" s="1"/>
  <c r="M61" i="18" s="1"/>
  <c r="N61" i="18" s="1"/>
  <c r="O61" i="18" s="1"/>
  <c r="P61" i="18" s="1"/>
  <c r="Q61" i="18"/>
  <c r="R61" i="18" s="1"/>
  <c r="S61" i="18" s="1"/>
  <c r="J62" i="18"/>
  <c r="K62" i="18"/>
  <c r="L62" i="18"/>
  <c r="M62" i="18"/>
  <c r="N62" i="18" s="1"/>
  <c r="O62" i="18" s="1"/>
  <c r="P62" i="18" s="1"/>
  <c r="Q62" i="18" s="1"/>
  <c r="R62" i="18" s="1"/>
  <c r="S62" i="18"/>
  <c r="J63" i="18"/>
  <c r="K63" i="18" s="1"/>
  <c r="L63" i="18" s="1"/>
  <c r="M63" i="18" s="1"/>
  <c r="N63" i="18" s="1"/>
  <c r="O63" i="18" s="1"/>
  <c r="P63" i="18" s="1"/>
  <c r="Q63" i="18" s="1"/>
  <c r="R63" i="18" s="1"/>
  <c r="S63" i="18" s="1"/>
  <c r="J64" i="18"/>
  <c r="K64" i="18"/>
  <c r="L64" i="18" s="1"/>
  <c r="M64" i="18" s="1"/>
  <c r="N64" i="18" s="1"/>
  <c r="O64" i="18" s="1"/>
  <c r="P64" i="18" s="1"/>
  <c r="Q64" i="18" s="1"/>
  <c r="R64" i="18" s="1"/>
  <c r="S64" i="18" s="1"/>
  <c r="J65" i="18"/>
  <c r="K65" i="18"/>
  <c r="L65" i="18"/>
  <c r="M65" i="18"/>
  <c r="N65" i="18" s="1"/>
  <c r="O65" i="18" s="1"/>
  <c r="P65" i="18" s="1"/>
  <c r="Q65" i="18" s="1"/>
  <c r="R65" i="18" s="1"/>
  <c r="S65" i="18" s="1"/>
  <c r="J66" i="18"/>
  <c r="K66" i="18" s="1"/>
  <c r="L66" i="18" s="1"/>
  <c r="M66" i="18" s="1"/>
  <c r="N66" i="18" s="1"/>
  <c r="O66" i="18"/>
  <c r="P66" i="18" s="1"/>
  <c r="Q66" i="18" s="1"/>
  <c r="R66" i="18" s="1"/>
  <c r="S66" i="18" s="1"/>
  <c r="J67" i="18"/>
  <c r="K67" i="18"/>
  <c r="L67" i="18" s="1"/>
  <c r="M67" i="18" s="1"/>
  <c r="N67" i="18" s="1"/>
  <c r="O67" i="18" s="1"/>
  <c r="P67" i="18" s="1"/>
  <c r="Q67" i="18"/>
  <c r="R67" i="18" s="1"/>
  <c r="S67" i="18" s="1"/>
  <c r="J68" i="18"/>
  <c r="K68" i="18"/>
  <c r="L68" i="18"/>
  <c r="M68" i="18"/>
  <c r="N68" i="18" s="1"/>
  <c r="O68" i="18" s="1"/>
  <c r="P68" i="18" s="1"/>
  <c r="Q68" i="18" s="1"/>
  <c r="R68" i="18" s="1"/>
  <c r="S68" i="18" s="1"/>
  <c r="J69" i="18"/>
  <c r="K69" i="18" s="1"/>
  <c r="L69" i="18" s="1"/>
  <c r="M69" i="18" s="1"/>
  <c r="N69" i="18" s="1"/>
  <c r="O69" i="18" s="1"/>
  <c r="P69" i="18" s="1"/>
  <c r="Q69" i="18" s="1"/>
  <c r="R69" i="18" s="1"/>
  <c r="S69" i="18" s="1"/>
  <c r="J70" i="18"/>
  <c r="K70" i="18"/>
  <c r="L70" i="18" s="1"/>
  <c r="M70" i="18" s="1"/>
  <c r="N70" i="18" s="1"/>
  <c r="O70" i="18" s="1"/>
  <c r="P70" i="18" s="1"/>
  <c r="Q70" i="18"/>
  <c r="R70" i="18" s="1"/>
  <c r="S70" i="18" s="1"/>
  <c r="J71" i="18"/>
  <c r="K71" i="18"/>
  <c r="L71" i="18"/>
  <c r="M71" i="18"/>
  <c r="N71" i="18" s="1"/>
  <c r="O71" i="18" s="1"/>
  <c r="P71" i="18" s="1"/>
  <c r="Q71" i="18" s="1"/>
  <c r="R71" i="18" s="1"/>
  <c r="S71" i="18"/>
  <c r="J72" i="18"/>
  <c r="K72" i="18" s="1"/>
  <c r="L72" i="18" s="1"/>
  <c r="M72" i="18" s="1"/>
  <c r="N72" i="18" s="1"/>
  <c r="O72" i="18" s="1"/>
  <c r="P72" i="18" s="1"/>
  <c r="Q72" i="18" s="1"/>
  <c r="R72" i="18" s="1"/>
  <c r="S72" i="18" s="1"/>
  <c r="J73" i="18"/>
  <c r="K73" i="18"/>
  <c r="L73" i="18" s="1"/>
  <c r="M73" i="18" s="1"/>
  <c r="N73" i="18" s="1"/>
  <c r="O73" i="18" s="1"/>
  <c r="P73" i="18" s="1"/>
  <c r="Q73" i="18" s="1"/>
  <c r="R73" i="18" s="1"/>
  <c r="S73" i="18" s="1"/>
  <c r="J74" i="18"/>
  <c r="K74" i="18"/>
  <c r="L74" i="18"/>
  <c r="M74" i="18"/>
  <c r="N74" i="18" s="1"/>
  <c r="O74" i="18" s="1"/>
  <c r="P74" i="18" s="1"/>
  <c r="Q74" i="18" s="1"/>
  <c r="R74" i="18" s="1"/>
  <c r="S74" i="18" s="1"/>
  <c r="J75" i="18"/>
  <c r="K75" i="18" s="1"/>
  <c r="L75" i="18" s="1"/>
  <c r="M75" i="18" s="1"/>
  <c r="N75" i="18" s="1"/>
  <c r="O75" i="18"/>
  <c r="P75" i="18" s="1"/>
  <c r="Q75" i="18" s="1"/>
  <c r="R75" i="18" s="1"/>
  <c r="S75" i="18" s="1"/>
  <c r="J76" i="18"/>
  <c r="K76" i="18"/>
  <c r="L76" i="18" s="1"/>
  <c r="M76" i="18" s="1"/>
  <c r="N76" i="18" s="1"/>
  <c r="O76" i="18" s="1"/>
  <c r="P76" i="18" s="1"/>
  <c r="Q76" i="18"/>
  <c r="R76" i="18" s="1"/>
  <c r="S76" i="18" s="1"/>
  <c r="J77" i="18"/>
  <c r="K77" i="18"/>
  <c r="L77" i="18"/>
  <c r="M77" i="18"/>
  <c r="N77" i="18" s="1"/>
  <c r="O77" i="18" s="1"/>
  <c r="P77" i="18" s="1"/>
  <c r="Q77" i="18" s="1"/>
  <c r="R77" i="18" s="1"/>
  <c r="S77" i="18" s="1"/>
  <c r="J78" i="18"/>
  <c r="K78" i="18" s="1"/>
  <c r="L78" i="18" s="1"/>
  <c r="M78" i="18" s="1"/>
  <c r="N78" i="18" s="1"/>
  <c r="O78" i="18" s="1"/>
  <c r="P78" i="18" s="1"/>
  <c r="Q78" i="18" s="1"/>
  <c r="R78" i="18" s="1"/>
  <c r="S78" i="18" s="1"/>
  <c r="J79" i="18"/>
  <c r="K79" i="18"/>
  <c r="L79" i="18" s="1"/>
  <c r="M79" i="18" s="1"/>
  <c r="N79" i="18" s="1"/>
  <c r="O79" i="18" s="1"/>
  <c r="P79" i="18" s="1"/>
  <c r="Q79" i="18"/>
  <c r="R79" i="18" s="1"/>
  <c r="S79" i="18" s="1"/>
  <c r="J80" i="18"/>
  <c r="K80" i="18"/>
  <c r="L80" i="18"/>
  <c r="M80" i="18"/>
  <c r="N80" i="18" s="1"/>
  <c r="O80" i="18" s="1"/>
  <c r="P80" i="18" s="1"/>
  <c r="Q80" i="18" s="1"/>
  <c r="R80" i="18" s="1"/>
  <c r="S80" i="18"/>
  <c r="J81" i="18"/>
  <c r="K81" i="18"/>
  <c r="L81" i="18" s="1"/>
  <c r="M81" i="18" s="1"/>
  <c r="N81" i="18" s="1"/>
  <c r="O81" i="18"/>
  <c r="P81" i="18" s="1"/>
  <c r="Q81" i="18" s="1"/>
  <c r="R81" i="18" s="1"/>
  <c r="S81" i="18" s="1"/>
  <c r="J82" i="18"/>
  <c r="K82" i="18"/>
  <c r="L82" i="18" s="1"/>
  <c r="M82" i="18" s="1"/>
  <c r="N82" i="18" s="1"/>
  <c r="O82" i="18" s="1"/>
  <c r="P82" i="18" s="1"/>
  <c r="Q82" i="18"/>
  <c r="R82" i="18" s="1"/>
  <c r="S82" i="18" s="1"/>
  <c r="J83" i="18"/>
  <c r="K83" i="18"/>
  <c r="L83" i="18"/>
  <c r="M83" i="18"/>
  <c r="N83" i="18" s="1"/>
  <c r="O83" i="18" s="1"/>
  <c r="P83" i="18" s="1"/>
  <c r="Q83" i="18" s="1"/>
  <c r="R83" i="18" s="1"/>
  <c r="S83" i="18" s="1"/>
  <c r="I7" i="17"/>
  <c r="J7" i="17"/>
  <c r="I8" i="17"/>
  <c r="J8" i="17"/>
  <c r="I9" i="17"/>
  <c r="J9" i="17" s="1"/>
  <c r="I10" i="17"/>
  <c r="J10" i="17"/>
  <c r="I14" i="17"/>
  <c r="J14" i="17"/>
  <c r="I15" i="17"/>
  <c r="J15" i="17" s="1"/>
  <c r="I16" i="17"/>
  <c r="J16" i="17"/>
  <c r="I17" i="17"/>
  <c r="J17" i="17"/>
  <c r="G18" i="17"/>
  <c r="G21" i="17" s="1"/>
  <c r="H18" i="17"/>
  <c r="S3" i="16"/>
  <c r="S4" i="16"/>
  <c r="S5" i="16"/>
  <c r="S6" i="16"/>
  <c r="S7" i="16"/>
  <c r="S8" i="16"/>
  <c r="G13" i="16"/>
  <c r="H13" i="16"/>
  <c r="I13" i="16" s="1"/>
  <c r="J13" i="16" s="1"/>
  <c r="K13" i="16" s="1"/>
  <c r="L13" i="16" s="1"/>
  <c r="D5" i="15"/>
  <c r="E5" i="15"/>
  <c r="F5" i="15"/>
  <c r="G5" i="15"/>
  <c r="G7" i="15" s="1"/>
  <c r="H5" i="15"/>
  <c r="H7" i="15" s="1"/>
  <c r="I5" i="15"/>
  <c r="I7" i="15" s="1"/>
  <c r="J5" i="15"/>
  <c r="K5" i="15"/>
  <c r="L5" i="15"/>
  <c r="L7" i="15" s="1"/>
  <c r="M5" i="15"/>
  <c r="M7" i="15" s="1"/>
  <c r="N5" i="15"/>
  <c r="N7" i="15" s="1"/>
  <c r="O5" i="15"/>
  <c r="P5" i="15"/>
  <c r="P7" i="15" s="1"/>
  <c r="Q5" i="15"/>
  <c r="Q7" i="15" s="1"/>
  <c r="R5" i="15"/>
  <c r="R7" i="15" s="1"/>
  <c r="S5" i="15"/>
  <c r="S7" i="15" s="1"/>
  <c r="X7" i="15" s="1"/>
  <c r="T5" i="15"/>
  <c r="U5" i="15"/>
  <c r="J6" i="15"/>
  <c r="O6" i="15"/>
  <c r="T6" i="15"/>
  <c r="F7" i="15"/>
  <c r="J7" i="15"/>
  <c r="K7" i="15"/>
  <c r="U7" i="15"/>
  <c r="V7" i="15" s="1"/>
  <c r="W7" i="15" s="1"/>
  <c r="Q12" i="4"/>
  <c r="Y24" i="1"/>
  <c r="Z24" i="1"/>
  <c r="AA24" i="1"/>
  <c r="AB24" i="1"/>
  <c r="AC24" i="1"/>
  <c r="AD24" i="1"/>
  <c r="AE24" i="1"/>
  <c r="AF24" i="1"/>
  <c r="AG24" i="1"/>
  <c r="AH24" i="1"/>
  <c r="E15" i="14"/>
  <c r="J12" i="14"/>
  <c r="K12" i="14"/>
  <c r="L12" i="14"/>
  <c r="M12" i="14"/>
  <c r="N12" i="14"/>
  <c r="O12" i="14"/>
  <c r="P12" i="14"/>
  <c r="Q12" i="14"/>
  <c r="R12" i="14"/>
  <c r="I12" i="14"/>
  <c r="W22" i="10"/>
  <c r="X22" i="10"/>
  <c r="Y22" i="10"/>
  <c r="Z22" i="10"/>
  <c r="AA22" i="10"/>
  <c r="AB22" i="10"/>
  <c r="AC22" i="10"/>
  <c r="AD22" i="10"/>
  <c r="V22" i="10"/>
  <c r="R22" i="10"/>
  <c r="S22" i="10"/>
  <c r="T22" i="10"/>
  <c r="V18" i="1"/>
  <c r="W18" i="1"/>
  <c r="X18" i="1"/>
  <c r="Y18" i="1"/>
  <c r="U54" i="13"/>
  <c r="V46" i="13"/>
  <c r="W46" i="13"/>
  <c r="X46" i="13"/>
  <c r="V33" i="13"/>
  <c r="W33" i="13"/>
  <c r="X33" i="13"/>
  <c r="V37" i="13"/>
  <c r="W37" i="13"/>
  <c r="X37" i="13"/>
  <c r="V38" i="13"/>
  <c r="W38" i="13"/>
  <c r="X38" i="13"/>
  <c r="U38" i="13"/>
  <c r="V20" i="13"/>
  <c r="W20" i="13"/>
  <c r="X20" i="13"/>
  <c r="R29" i="10"/>
  <c r="S29" i="10" s="1"/>
  <c r="T29" i="10" s="1"/>
  <c r="U29" i="10" s="1"/>
  <c r="V29" i="10" s="1"/>
  <c r="W29" i="10" s="1"/>
  <c r="X29" i="10" s="1"/>
  <c r="Y29" i="10" s="1"/>
  <c r="Z29" i="10" s="1"/>
  <c r="AA29" i="10" s="1"/>
  <c r="AB29" i="10" s="1"/>
  <c r="AC29" i="10" s="1"/>
  <c r="AD29" i="10" s="1"/>
  <c r="S26" i="10"/>
  <c r="T26" i="10"/>
  <c r="V26" i="10"/>
  <c r="W26" i="10"/>
  <c r="X26" i="10"/>
  <c r="Y26" i="10"/>
  <c r="Z26" i="10"/>
  <c r="AA26" i="10"/>
  <c r="AB26" i="10"/>
  <c r="AC26" i="10"/>
  <c r="AD26" i="10"/>
  <c r="R26" i="10"/>
  <c r="S20" i="10"/>
  <c r="T20" i="10"/>
  <c r="V20" i="10"/>
  <c r="W20" i="10"/>
  <c r="X20" i="10"/>
  <c r="Y20" i="10"/>
  <c r="Z20" i="10"/>
  <c r="AA20" i="10"/>
  <c r="AB20" i="10"/>
  <c r="AC20" i="10"/>
  <c r="AD20" i="10"/>
  <c r="S21" i="10"/>
  <c r="U21" i="10" s="1"/>
  <c r="T21" i="10"/>
  <c r="V21" i="10"/>
  <c r="W21" i="10"/>
  <c r="X21" i="10"/>
  <c r="Y21" i="10"/>
  <c r="Z21" i="10"/>
  <c r="AA21" i="10"/>
  <c r="AB21" i="10"/>
  <c r="AC21" i="10"/>
  <c r="AD21" i="10"/>
  <c r="R21" i="10"/>
  <c r="R20" i="10"/>
  <c r="S17" i="10"/>
  <c r="T17" i="10"/>
  <c r="V17" i="10"/>
  <c r="W17" i="10"/>
  <c r="X17" i="10"/>
  <c r="Y17" i="10"/>
  <c r="Z17" i="10"/>
  <c r="AA17" i="10"/>
  <c r="AB17" i="10"/>
  <c r="AC17" i="10"/>
  <c r="AD17" i="10"/>
  <c r="R17" i="10"/>
  <c r="Y13" i="10"/>
  <c r="S7" i="10"/>
  <c r="T7" i="10"/>
  <c r="U7" i="10"/>
  <c r="V7" i="10"/>
  <c r="W7" i="10"/>
  <c r="X7" i="10"/>
  <c r="Y7" i="10"/>
  <c r="Z7" i="10"/>
  <c r="AA7" i="10"/>
  <c r="AB7" i="10"/>
  <c r="AC7" i="10"/>
  <c r="AD7" i="10"/>
  <c r="R7" i="10"/>
  <c r="U6" i="10"/>
  <c r="Y21" i="1"/>
  <c r="T33" i="4"/>
  <c r="S33" i="4" s="1"/>
  <c r="V27" i="4"/>
  <c r="V13" i="10" s="1"/>
  <c r="AD27" i="4"/>
  <c r="AC27" i="4"/>
  <c r="AC13" i="10" s="1"/>
  <c r="AB27" i="4"/>
  <c r="AB13" i="10" s="1"/>
  <c r="AA27" i="4"/>
  <c r="AA13" i="10" s="1"/>
  <c r="Z27" i="4"/>
  <c r="Z13" i="10" s="1"/>
  <c r="Y27" i="4"/>
  <c r="X27" i="4"/>
  <c r="W27" i="4"/>
  <c r="W13" i="10" s="1"/>
  <c r="AD33" i="4"/>
  <c r="AC33" i="4"/>
  <c r="AD13" i="10" s="1"/>
  <c r="AB33" i="4"/>
  <c r="AA33" i="4"/>
  <c r="Z33" i="4"/>
  <c r="Y33" i="4"/>
  <c r="X33" i="4"/>
  <c r="W33" i="4"/>
  <c r="X13" i="10" s="1"/>
  <c r="V33" i="4"/>
  <c r="U33" i="4"/>
  <c r="H22" i="14"/>
  <c r="G22" i="14"/>
  <c r="F22" i="14"/>
  <c r="E22" i="14"/>
  <c r="U27" i="4"/>
  <c r="T27" i="4" s="1"/>
  <c r="N22" i="14"/>
  <c r="L24" i="14"/>
  <c r="R23" i="14"/>
  <c r="Q23" i="14"/>
  <c r="P23" i="14"/>
  <c r="O23" i="14"/>
  <c r="N23" i="14"/>
  <c r="M22" i="14"/>
  <c r="M24" i="14" s="1"/>
  <c r="L22" i="14"/>
  <c r="K22" i="14"/>
  <c r="K24" i="14"/>
  <c r="J24" i="14"/>
  <c r="I24" i="14"/>
  <c r="J22" i="14"/>
  <c r="I22" i="14"/>
  <c r="J23" i="14"/>
  <c r="K23" i="14"/>
  <c r="L23" i="14"/>
  <c r="M23" i="14"/>
  <c r="I23" i="14"/>
  <c r="D24" i="14"/>
  <c r="D23" i="14"/>
  <c r="AH20" i="13"/>
  <c r="AG20" i="13"/>
  <c r="AF20" i="13"/>
  <c r="AE20" i="13"/>
  <c r="AD20" i="13"/>
  <c r="AC20" i="13"/>
  <c r="AB20" i="13"/>
  <c r="AA20" i="13"/>
  <c r="Z20" i="13"/>
  <c r="AH37" i="13"/>
  <c r="AG37" i="13"/>
  <c r="AF37" i="13"/>
  <c r="AE37" i="13"/>
  <c r="AD37" i="13"/>
  <c r="AC37" i="13"/>
  <c r="AB37" i="13"/>
  <c r="AA37" i="13"/>
  <c r="Z37" i="13"/>
  <c r="AH26" i="13"/>
  <c r="AG26" i="13"/>
  <c r="AF26" i="13"/>
  <c r="AE26" i="13"/>
  <c r="AD26" i="13"/>
  <c r="AC26" i="13"/>
  <c r="AB26" i="13"/>
  <c r="AA26" i="13"/>
  <c r="Z26" i="13"/>
  <c r="AH28" i="13"/>
  <c r="AG28" i="13"/>
  <c r="AF28" i="13"/>
  <c r="AE28" i="13"/>
  <c r="AD28" i="13"/>
  <c r="AC28" i="13"/>
  <c r="AB28" i="13"/>
  <c r="AA28" i="13"/>
  <c r="Z28" i="13"/>
  <c r="Y28" i="13"/>
  <c r="Y37" i="13"/>
  <c r="AH42" i="13"/>
  <c r="AG42" i="13"/>
  <c r="AF42" i="13"/>
  <c r="AE42" i="13"/>
  <c r="AD42" i="13"/>
  <c r="AC42" i="13"/>
  <c r="AB42" i="13"/>
  <c r="AA42" i="13"/>
  <c r="Z42" i="13"/>
  <c r="Y42" i="13"/>
  <c r="AA44" i="13"/>
  <c r="AB44" i="13" s="1"/>
  <c r="AC44" i="13" s="1"/>
  <c r="AD44" i="13" s="1"/>
  <c r="AE44" i="13" s="1"/>
  <c r="AF44" i="13" s="1"/>
  <c r="AG44" i="13" s="1"/>
  <c r="AH44" i="13" s="1"/>
  <c r="Z44" i="13"/>
  <c r="Y44" i="13"/>
  <c r="T44" i="13"/>
  <c r="O44" i="13"/>
  <c r="AH43" i="13"/>
  <c r="AG43" i="13"/>
  <c r="AF43" i="13"/>
  <c r="AE43" i="13"/>
  <c r="AD43" i="13"/>
  <c r="AC43" i="13"/>
  <c r="AB43" i="13"/>
  <c r="AA43" i="13"/>
  <c r="Z43" i="13"/>
  <c r="Y43" i="13"/>
  <c r="AA40" i="13"/>
  <c r="Z40" i="13"/>
  <c r="Y40" i="13"/>
  <c r="Z39" i="13"/>
  <c r="Y39" i="13"/>
  <c r="Y46" i="13"/>
  <c r="Y33" i="13"/>
  <c r="AA35" i="13"/>
  <c r="AB35" i="13" s="1"/>
  <c r="AC35" i="13" s="1"/>
  <c r="AD35" i="13" s="1"/>
  <c r="AE35" i="13" s="1"/>
  <c r="AF35" i="13" s="1"/>
  <c r="AG35" i="13" s="1"/>
  <c r="AH35" i="13" s="1"/>
  <c r="Z35" i="13"/>
  <c r="Y35" i="13"/>
  <c r="T35" i="13"/>
  <c r="O35" i="13"/>
  <c r="E35" i="13"/>
  <c r="J35" i="13"/>
  <c r="T34" i="13"/>
  <c r="O34" i="13"/>
  <c r="J34" i="13"/>
  <c r="E34" i="13"/>
  <c r="I34" i="13"/>
  <c r="H34" i="13"/>
  <c r="H35" i="13" s="1"/>
  <c r="G34" i="13"/>
  <c r="F34" i="13"/>
  <c r="F35" i="13" s="1"/>
  <c r="I35" i="13"/>
  <c r="K34" i="13"/>
  <c r="P35" i="13" s="1"/>
  <c r="L34" i="13"/>
  <c r="Q35" i="13" s="1"/>
  <c r="M34" i="13"/>
  <c r="R35" i="13" s="1"/>
  <c r="N34" i="13"/>
  <c r="S35" i="13" s="1"/>
  <c r="P34" i="13"/>
  <c r="Q34" i="13"/>
  <c r="R34" i="13"/>
  <c r="S34" i="13"/>
  <c r="D34" i="13"/>
  <c r="Y26" i="13"/>
  <c r="Y20" i="13" s="1"/>
  <c r="AA27" i="13"/>
  <c r="Z27" i="13"/>
  <c r="Y27" i="13"/>
  <c r="Z29" i="13" s="1"/>
  <c r="AA29" i="13"/>
  <c r="Y29" i="13"/>
  <c r="AH30" i="13"/>
  <c r="AG30" i="13"/>
  <c r="AF30" i="13"/>
  <c r="AE30" i="13"/>
  <c r="AD30" i="13"/>
  <c r="AC30" i="13"/>
  <c r="AB30" i="13"/>
  <c r="AA30" i="13"/>
  <c r="Z30" i="13"/>
  <c r="Y30" i="13"/>
  <c r="AH24" i="13"/>
  <c r="AG24" i="13"/>
  <c r="AF24" i="13"/>
  <c r="AE24" i="13"/>
  <c r="AD24" i="13"/>
  <c r="AC24" i="13"/>
  <c r="AB24" i="13"/>
  <c r="AA24" i="13"/>
  <c r="Z24" i="13"/>
  <c r="Y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AH22" i="13"/>
  <c r="AG22" i="13"/>
  <c r="AF22" i="13"/>
  <c r="AE22" i="13"/>
  <c r="AD22" i="13"/>
  <c r="AC22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U11" i="13"/>
  <c r="U13" i="13"/>
  <c r="AH14" i="13"/>
  <c r="AG14" i="13"/>
  <c r="AF14" i="13"/>
  <c r="AE14" i="13"/>
  <c r="AD14" i="13"/>
  <c r="AC14" i="13"/>
  <c r="AB14" i="13"/>
  <c r="AA14" i="13"/>
  <c r="Z14" i="13"/>
  <c r="Y14" i="13"/>
  <c r="AH12" i="13"/>
  <c r="AH11" i="13" s="1"/>
  <c r="AG12" i="13"/>
  <c r="AG11" i="13" s="1"/>
  <c r="AF12" i="13"/>
  <c r="AF11" i="13" s="1"/>
  <c r="AE12" i="13"/>
  <c r="AE11" i="13" s="1"/>
  <c r="AD12" i="13"/>
  <c r="AD11" i="13" s="1"/>
  <c r="AC12" i="13"/>
  <c r="AC11" i="13" s="1"/>
  <c r="AB12" i="13"/>
  <c r="AB11" i="13" s="1"/>
  <c r="AA12" i="13"/>
  <c r="AA11" i="13" s="1"/>
  <c r="Z12" i="13"/>
  <c r="Z11" i="13" s="1"/>
  <c r="Y12" i="13"/>
  <c r="Y11" i="13" s="1"/>
  <c r="X12" i="13"/>
  <c r="X11" i="13" s="1"/>
  <c r="W12" i="13"/>
  <c r="W11" i="13" s="1"/>
  <c r="V12" i="13"/>
  <c r="V11" i="13" s="1"/>
  <c r="U12" i="13"/>
  <c r="AH7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AH9" i="13"/>
  <c r="AH8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A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E12" i="14"/>
  <c r="H12" i="14" s="1"/>
  <c r="E14" i="14"/>
  <c r="L20" i="14"/>
  <c r="M20" i="14"/>
  <c r="AB8" i="13"/>
  <c r="AC8" i="13" s="1"/>
  <c r="AD8" i="13" s="1"/>
  <c r="AE8" i="13" s="1"/>
  <c r="AF8" i="13" s="1"/>
  <c r="AG8" i="13" s="1"/>
  <c r="AB9" i="13"/>
  <c r="AC9" i="13"/>
  <c r="AD9" i="13" s="1"/>
  <c r="AE9" i="13" s="1"/>
  <c r="AF9" i="13" s="1"/>
  <c r="AG9" i="13" s="1"/>
  <c r="O33" i="13"/>
  <c r="T33" i="13"/>
  <c r="G35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6" i="13"/>
  <c r="T50" i="13"/>
  <c r="U50" i="13"/>
  <c r="T52" i="13"/>
  <c r="Y52" i="13" s="1"/>
  <c r="X52" i="13" s="1"/>
  <c r="U52" i="13"/>
  <c r="V52" i="13" s="1"/>
  <c r="AD28" i="4"/>
  <c r="AC28" i="4"/>
  <c r="AB28" i="4"/>
  <c r="AA28" i="4"/>
  <c r="Z28" i="4"/>
  <c r="Y28" i="4"/>
  <c r="X28" i="4"/>
  <c r="W28" i="4"/>
  <c r="V28" i="4"/>
  <c r="U28" i="4"/>
  <c r="T28" i="4"/>
  <c r="S28" i="4"/>
  <c r="T45" i="4"/>
  <c r="U45" i="4" s="1"/>
  <c r="V45" i="4" s="1"/>
  <c r="W45" i="4" s="1"/>
  <c r="X45" i="4" s="1"/>
  <c r="Y45" i="4" s="1"/>
  <c r="Z45" i="4" s="1"/>
  <c r="AA45" i="4" s="1"/>
  <c r="AB45" i="4" s="1"/>
  <c r="AC45" i="4" s="1"/>
  <c r="AD45" i="4" s="1"/>
  <c r="S45" i="4"/>
  <c r="T43" i="4"/>
  <c r="U43" i="4" s="1"/>
  <c r="V43" i="4" s="1"/>
  <c r="W43" i="4" s="1"/>
  <c r="X43" i="4" s="1"/>
  <c r="Y43" i="4" s="1"/>
  <c r="Z43" i="4" s="1"/>
  <c r="AA43" i="4" s="1"/>
  <c r="AB43" i="4" s="1"/>
  <c r="AC43" i="4" s="1"/>
  <c r="AD43" i="4" s="1"/>
  <c r="S43" i="4"/>
  <c r="T42" i="4"/>
  <c r="U42" i="4" s="1"/>
  <c r="V42" i="4" s="1"/>
  <c r="W42" i="4" s="1"/>
  <c r="X42" i="4" s="1"/>
  <c r="Y42" i="4" s="1"/>
  <c r="Z42" i="4" s="1"/>
  <c r="AA42" i="4" s="1"/>
  <c r="AB42" i="4" s="1"/>
  <c r="AC42" i="4" s="1"/>
  <c r="AD42" i="4" s="1"/>
  <c r="S42" i="4"/>
  <c r="T41" i="4"/>
  <c r="U41" i="4" s="1"/>
  <c r="V41" i="4" s="1"/>
  <c r="W41" i="4" s="1"/>
  <c r="X41" i="4" s="1"/>
  <c r="Y41" i="4" s="1"/>
  <c r="Z41" i="4" s="1"/>
  <c r="AA41" i="4" s="1"/>
  <c r="AB41" i="4" s="1"/>
  <c r="AC41" i="4" s="1"/>
  <c r="AD41" i="4" s="1"/>
  <c r="S41" i="4"/>
  <c r="T40" i="4"/>
  <c r="U40" i="4" s="1"/>
  <c r="V40" i="4" s="1"/>
  <c r="W40" i="4" s="1"/>
  <c r="X40" i="4" s="1"/>
  <c r="Y40" i="4" s="1"/>
  <c r="Z40" i="4" s="1"/>
  <c r="AA40" i="4" s="1"/>
  <c r="AB40" i="4" s="1"/>
  <c r="AC40" i="4" s="1"/>
  <c r="AD40" i="4" s="1"/>
  <c r="S40" i="4"/>
  <c r="T39" i="4"/>
  <c r="U39" i="4" s="1"/>
  <c r="V39" i="4" s="1"/>
  <c r="W39" i="4" s="1"/>
  <c r="X39" i="4" s="1"/>
  <c r="Y39" i="4" s="1"/>
  <c r="Z39" i="4" s="1"/>
  <c r="AA39" i="4" s="1"/>
  <c r="AB39" i="4" s="1"/>
  <c r="AC39" i="4" s="1"/>
  <c r="AD39" i="4" s="1"/>
  <c r="S39" i="4"/>
  <c r="T38" i="4"/>
  <c r="U38" i="4" s="1"/>
  <c r="V38" i="4" s="1"/>
  <c r="W38" i="4" s="1"/>
  <c r="X38" i="4" s="1"/>
  <c r="Y38" i="4" s="1"/>
  <c r="Z38" i="4" s="1"/>
  <c r="AA38" i="4" s="1"/>
  <c r="AB38" i="4" s="1"/>
  <c r="AC38" i="4" s="1"/>
  <c r="AD38" i="4" s="1"/>
  <c r="S38" i="4"/>
  <c r="R45" i="4"/>
  <c r="R43" i="4"/>
  <c r="R42" i="4"/>
  <c r="R41" i="4"/>
  <c r="R40" i="4"/>
  <c r="R39" i="4"/>
  <c r="R38" i="4"/>
  <c r="R28" i="4"/>
  <c r="T116" i="4"/>
  <c r="S116" i="4"/>
  <c r="R116" i="4"/>
  <c r="T113" i="4"/>
  <c r="S113" i="4"/>
  <c r="R113" i="4"/>
  <c r="T110" i="4"/>
  <c r="S110" i="4"/>
  <c r="R110" i="4"/>
  <c r="T107" i="4"/>
  <c r="S107" i="4"/>
  <c r="R107" i="4"/>
  <c r="T104" i="4"/>
  <c r="S104" i="4"/>
  <c r="R104" i="4"/>
  <c r="T101" i="4"/>
  <c r="S101" i="4"/>
  <c r="R101" i="4"/>
  <c r="T98" i="4"/>
  <c r="S98" i="4"/>
  <c r="R98" i="4"/>
  <c r="T95" i="4"/>
  <c r="S95" i="4"/>
  <c r="R95" i="4"/>
  <c r="T92" i="4"/>
  <c r="S92" i="4"/>
  <c r="R92" i="4"/>
  <c r="T77" i="4"/>
  <c r="S77" i="4"/>
  <c r="R77" i="4"/>
  <c r="T76" i="4"/>
  <c r="S76" i="4"/>
  <c r="R76" i="4"/>
  <c r="S80" i="4"/>
  <c r="T80" i="4"/>
  <c r="S81" i="4"/>
  <c r="T81" i="4"/>
  <c r="R81" i="4"/>
  <c r="R80" i="4"/>
  <c r="T79" i="4"/>
  <c r="S79" i="4"/>
  <c r="R79" i="4"/>
  <c r="T78" i="4"/>
  <c r="S78" i="4"/>
  <c r="R78" i="4"/>
  <c r="U7" i="11"/>
  <c r="U58" i="11"/>
  <c r="U42" i="11"/>
  <c r="W61" i="11"/>
  <c r="X61" i="11" s="1"/>
  <c r="V61" i="11"/>
  <c r="U63" i="11"/>
  <c r="X44" i="1"/>
  <c r="X45" i="1"/>
  <c r="W45" i="1"/>
  <c r="V45" i="1"/>
  <c r="W44" i="1"/>
  <c r="V44" i="1"/>
  <c r="W48" i="11"/>
  <c r="W34" i="1"/>
  <c r="X34" i="1"/>
  <c r="V34" i="1"/>
  <c r="Y25" i="1"/>
  <c r="W19" i="1"/>
  <c r="X19" i="1"/>
  <c r="Y19" i="1"/>
  <c r="Z19" i="1"/>
  <c r="AA19" i="1"/>
  <c r="AB19" i="1"/>
  <c r="AC19" i="1"/>
  <c r="AD19" i="1"/>
  <c r="AE19" i="1"/>
  <c r="AF19" i="1"/>
  <c r="AG19" i="1"/>
  <c r="AH19" i="1"/>
  <c r="V19" i="1"/>
  <c r="Y87" i="11"/>
  <c r="Y85" i="11"/>
  <c r="W75" i="11"/>
  <c r="X75" i="11"/>
  <c r="W79" i="11"/>
  <c r="X79" i="11"/>
  <c r="W83" i="11"/>
  <c r="X83" i="11"/>
  <c r="V83" i="11"/>
  <c r="V79" i="11"/>
  <c r="Z79" i="11"/>
  <c r="AA79" i="11"/>
  <c r="AB79" i="11"/>
  <c r="AC79" i="11"/>
  <c r="AD79" i="11"/>
  <c r="AE79" i="11"/>
  <c r="AF79" i="11"/>
  <c r="AG79" i="11"/>
  <c r="AH79" i="11"/>
  <c r="Z83" i="11"/>
  <c r="AA83" i="11"/>
  <c r="AB83" i="11"/>
  <c r="AC83" i="11"/>
  <c r="AD83" i="11"/>
  <c r="AE83" i="11"/>
  <c r="AF83" i="11"/>
  <c r="AG83" i="11"/>
  <c r="AH83" i="11"/>
  <c r="Y79" i="11"/>
  <c r="Y83" i="11"/>
  <c r="V75" i="11"/>
  <c r="Z75" i="11"/>
  <c r="AA75" i="11"/>
  <c r="AB75" i="11"/>
  <c r="AC75" i="11"/>
  <c r="AD75" i="11"/>
  <c r="AE75" i="11"/>
  <c r="AF75" i="11"/>
  <c r="AG75" i="11"/>
  <c r="AH75" i="11"/>
  <c r="Y75" i="11"/>
  <c r="U54" i="11"/>
  <c r="W62" i="11"/>
  <c r="X62" i="11"/>
  <c r="V62" i="11"/>
  <c r="Z62" i="11"/>
  <c r="AA62" i="11"/>
  <c r="AB62" i="11"/>
  <c r="AC62" i="11"/>
  <c r="AD62" i="11"/>
  <c r="AE62" i="11"/>
  <c r="AF62" i="11"/>
  <c r="AG62" i="11"/>
  <c r="AH62" i="11"/>
  <c r="Y62" i="11"/>
  <c r="X57" i="11"/>
  <c r="W57" i="11"/>
  <c r="V57" i="11"/>
  <c r="V12" i="11"/>
  <c r="X12" i="11"/>
  <c r="X45" i="11"/>
  <c r="W45" i="11"/>
  <c r="X48" i="11"/>
  <c r="V48" i="11"/>
  <c r="V45" i="11"/>
  <c r="AH45" i="11"/>
  <c r="AG45" i="11"/>
  <c r="AF45" i="11"/>
  <c r="AE45" i="11"/>
  <c r="AD45" i="11"/>
  <c r="AC45" i="11"/>
  <c r="AB45" i="11"/>
  <c r="AA45" i="11"/>
  <c r="Z45" i="11"/>
  <c r="AH48" i="11"/>
  <c r="AG48" i="11"/>
  <c r="AF48" i="11"/>
  <c r="AE48" i="11"/>
  <c r="AD48" i="11"/>
  <c r="AC48" i="11"/>
  <c r="AB48" i="11"/>
  <c r="AA48" i="11"/>
  <c r="Z48" i="11"/>
  <c r="Y48" i="11"/>
  <c r="Y45" i="11"/>
  <c r="AB23" i="11"/>
  <c r="AA34" i="11"/>
  <c r="U35" i="11"/>
  <c r="W31" i="11"/>
  <c r="X31" i="11" s="1"/>
  <c r="V31" i="11"/>
  <c r="X38" i="11"/>
  <c r="W38" i="11"/>
  <c r="V38" i="11"/>
  <c r="X32" i="11"/>
  <c r="W32" i="11"/>
  <c r="V32" i="11"/>
  <c r="AA38" i="11"/>
  <c r="AB38" i="11" s="1"/>
  <c r="AC38" i="11" s="1"/>
  <c r="AD38" i="11" s="1"/>
  <c r="AE38" i="11" s="1"/>
  <c r="AF38" i="11" s="1"/>
  <c r="AG38" i="11" s="1"/>
  <c r="AH38" i="11" s="1"/>
  <c r="Z38" i="11"/>
  <c r="AA32" i="11"/>
  <c r="AB32" i="11" s="1"/>
  <c r="AC32" i="11" s="1"/>
  <c r="AD32" i="11" s="1"/>
  <c r="AE32" i="11" s="1"/>
  <c r="AF32" i="11" s="1"/>
  <c r="AG32" i="11" s="1"/>
  <c r="AH32" i="11" s="1"/>
  <c r="Z32" i="11"/>
  <c r="AB18" i="11"/>
  <c r="AC18" i="11" s="1"/>
  <c r="AD18" i="11" s="1"/>
  <c r="AE18" i="11" s="1"/>
  <c r="AF18" i="11" s="1"/>
  <c r="AG18" i="11" s="1"/>
  <c r="AH18" i="11" s="1"/>
  <c r="AA18" i="11"/>
  <c r="W18" i="11"/>
  <c r="X18" i="11"/>
  <c r="V18" i="11"/>
  <c r="Y18" i="11" s="1"/>
  <c r="Z18" i="11" s="1"/>
  <c r="V17" i="11"/>
  <c r="V28" i="11" s="1"/>
  <c r="Z23" i="11"/>
  <c r="AA23" i="11"/>
  <c r="AC23" i="11" s="1"/>
  <c r="AD23" i="11" s="1"/>
  <c r="AE23" i="11" s="1"/>
  <c r="AF23" i="11" s="1"/>
  <c r="AG23" i="11" s="1"/>
  <c r="AH23" i="11" s="1"/>
  <c r="H88" i="4"/>
  <c r="I88" i="4"/>
  <c r="J88" i="4"/>
  <c r="K88" i="4"/>
  <c r="L88" i="4"/>
  <c r="M88" i="4"/>
  <c r="N88" i="4"/>
  <c r="O88" i="4"/>
  <c r="P88" i="4"/>
  <c r="Q88" i="4"/>
  <c r="H89" i="4"/>
  <c r="I89" i="4"/>
  <c r="J89" i="4"/>
  <c r="K89" i="4"/>
  <c r="L89" i="4"/>
  <c r="M89" i="4"/>
  <c r="N89" i="4"/>
  <c r="O89" i="4"/>
  <c r="P89" i="4"/>
  <c r="Q89" i="4"/>
  <c r="G88" i="4"/>
  <c r="G89" i="4"/>
  <c r="U7" i="1"/>
  <c r="H3" i="18" l="1"/>
  <c r="G3" i="18"/>
  <c r="W12" i="11"/>
  <c r="Y12" i="11" s="1"/>
  <c r="I3" i="18"/>
  <c r="V26" i="11"/>
  <c r="V35" i="11" s="1"/>
  <c r="V10" i="11"/>
  <c r="W17" i="11"/>
  <c r="W28" i="11" s="1"/>
  <c r="T7" i="15"/>
  <c r="K29" i="18"/>
  <c r="J29" i="18"/>
  <c r="G20" i="17"/>
  <c r="O7" i="15"/>
  <c r="H20" i="17"/>
  <c r="P9" i="16"/>
  <c r="P12" i="16" s="1"/>
  <c r="C18" i="18" s="1"/>
  <c r="I18" i="17"/>
  <c r="U17" i="10"/>
  <c r="U26" i="10"/>
  <c r="U22" i="10"/>
  <c r="U20" i="10"/>
  <c r="R16" i="4"/>
  <c r="W52" i="13"/>
  <c r="S16" i="4" s="1"/>
  <c r="X24" i="1"/>
  <c r="G12" i="14"/>
  <c r="S27" i="4"/>
  <c r="R33" i="4"/>
  <c r="V21" i="1"/>
  <c r="R6" i="10"/>
  <c r="U16" i="4"/>
  <c r="Z52" i="13"/>
  <c r="N24" i="14"/>
  <c r="O22" i="14" s="1"/>
  <c r="O24" i="14" s="1"/>
  <c r="P22" i="14" s="1"/>
  <c r="P24" i="14" s="1"/>
  <c r="Q22" i="14" s="1"/>
  <c r="Q24" i="14" s="1"/>
  <c r="R22" i="14" s="1"/>
  <c r="R24" i="14" s="1"/>
  <c r="AA39" i="13"/>
  <c r="AB29" i="13"/>
  <c r="AB27" i="13" s="1"/>
  <c r="AB34" i="11"/>
  <c r="AH34" i="11"/>
  <c r="AC34" i="11"/>
  <c r="AF34" i="11"/>
  <c r="AD34" i="11"/>
  <c r="AE34" i="11"/>
  <c r="AG34" i="11"/>
  <c r="V16" i="11"/>
  <c r="J34" i="1"/>
  <c r="U34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D33" i="1"/>
  <c r="J94" i="11"/>
  <c r="U94" i="11"/>
  <c r="N44" i="1"/>
  <c r="P44" i="1"/>
  <c r="Q44" i="1"/>
  <c r="R44" i="1"/>
  <c r="S44" i="1"/>
  <c r="U44" i="1"/>
  <c r="N45" i="1"/>
  <c r="P45" i="1"/>
  <c r="Q45" i="1"/>
  <c r="R45" i="1"/>
  <c r="S45" i="1"/>
  <c r="M45" i="1"/>
  <c r="M44" i="1"/>
  <c r="J91" i="11"/>
  <c r="E90" i="11"/>
  <c r="J90" i="11"/>
  <c r="D90" i="11"/>
  <c r="E85" i="11"/>
  <c r="F85" i="11"/>
  <c r="G85" i="11"/>
  <c r="H85" i="11"/>
  <c r="I85" i="11"/>
  <c r="J85" i="11"/>
  <c r="K85" i="11"/>
  <c r="L85" i="11"/>
  <c r="M85" i="11"/>
  <c r="N85" i="11"/>
  <c r="P85" i="11"/>
  <c r="Q85" i="11"/>
  <c r="R85" i="11"/>
  <c r="S85" i="11"/>
  <c r="U85" i="11"/>
  <c r="E87" i="11"/>
  <c r="F87" i="11"/>
  <c r="G87" i="11"/>
  <c r="H87" i="11"/>
  <c r="I87" i="11"/>
  <c r="J87" i="11"/>
  <c r="K87" i="11"/>
  <c r="L87" i="11"/>
  <c r="M87" i="11"/>
  <c r="N87" i="11"/>
  <c r="P87" i="11"/>
  <c r="Q87" i="11"/>
  <c r="R87" i="11"/>
  <c r="S87" i="11"/>
  <c r="U87" i="11"/>
  <c r="D87" i="11"/>
  <c r="D85" i="11"/>
  <c r="K81" i="11"/>
  <c r="L81" i="11"/>
  <c r="M81" i="11"/>
  <c r="N81" i="11"/>
  <c r="P81" i="11"/>
  <c r="Q81" i="11"/>
  <c r="R81" i="11"/>
  <c r="S81" i="11"/>
  <c r="U81" i="11"/>
  <c r="J81" i="11"/>
  <c r="K77" i="11"/>
  <c r="L77" i="11"/>
  <c r="M77" i="11"/>
  <c r="N77" i="11"/>
  <c r="P77" i="11"/>
  <c r="Q77" i="11"/>
  <c r="R77" i="11"/>
  <c r="S77" i="11"/>
  <c r="U77" i="11"/>
  <c r="J77" i="11"/>
  <c r="E70" i="11"/>
  <c r="J70" i="11"/>
  <c r="D70" i="11"/>
  <c r="U73" i="11"/>
  <c r="K73" i="11"/>
  <c r="L73" i="11"/>
  <c r="M73" i="11"/>
  <c r="N73" i="11"/>
  <c r="P73" i="11"/>
  <c r="Q73" i="11"/>
  <c r="R73" i="11"/>
  <c r="S73" i="11"/>
  <c r="J73" i="11"/>
  <c r="J66" i="11"/>
  <c r="J68" i="11" s="1"/>
  <c r="U6" i="11"/>
  <c r="J60" i="11"/>
  <c r="E54" i="11"/>
  <c r="F54" i="11"/>
  <c r="G54" i="11"/>
  <c r="G56" i="11" s="1"/>
  <c r="G57" i="11" s="1"/>
  <c r="H54" i="11"/>
  <c r="J54" i="11"/>
  <c r="K54" i="11"/>
  <c r="L54" i="11"/>
  <c r="M54" i="11"/>
  <c r="O54" i="11"/>
  <c r="P54" i="11"/>
  <c r="Q54" i="11"/>
  <c r="R54" i="11"/>
  <c r="R56" i="11" s="1"/>
  <c r="R57" i="11" s="1"/>
  <c r="T54" i="11"/>
  <c r="D54" i="11"/>
  <c r="J38" i="1"/>
  <c r="J52" i="11" s="1"/>
  <c r="J39" i="1"/>
  <c r="J40" i="1"/>
  <c r="J41" i="1"/>
  <c r="U51" i="11"/>
  <c r="E51" i="11"/>
  <c r="F51" i="11"/>
  <c r="G51" i="11"/>
  <c r="H51" i="11"/>
  <c r="I51" i="11"/>
  <c r="J51" i="11"/>
  <c r="K51" i="11"/>
  <c r="L51" i="11"/>
  <c r="M51" i="11"/>
  <c r="N51" i="11"/>
  <c r="P51" i="11"/>
  <c r="Q51" i="11"/>
  <c r="R51" i="11"/>
  <c r="S51" i="11"/>
  <c r="D51" i="11"/>
  <c r="W16" i="11" l="1"/>
  <c r="W63" i="11" s="1"/>
  <c r="V29" i="11"/>
  <c r="V41" i="11" s="1"/>
  <c r="V56" i="11" s="1"/>
  <c r="V54" i="11" s="1"/>
  <c r="V10" i="1" s="1"/>
  <c r="Z12" i="11"/>
  <c r="X17" i="11"/>
  <c r="X16" i="11" s="1"/>
  <c r="W10" i="11"/>
  <c r="W26" i="11"/>
  <c r="W35" i="11" s="1"/>
  <c r="R17" i="4"/>
  <c r="S17" i="4" s="1"/>
  <c r="V60" i="11"/>
  <c r="V51" i="11" s="1"/>
  <c r="V63" i="11"/>
  <c r="R34" i="4"/>
  <c r="R29" i="4"/>
  <c r="W60" i="11"/>
  <c r="V6" i="11"/>
  <c r="J18" i="17"/>
  <c r="I21" i="17"/>
  <c r="I20" i="17"/>
  <c r="T16" i="4"/>
  <c r="W24" i="1"/>
  <c r="F12" i="14"/>
  <c r="V24" i="1" s="1"/>
  <c r="R27" i="4"/>
  <c r="S13" i="10"/>
  <c r="T13" i="10"/>
  <c r="W21" i="1"/>
  <c r="S6" i="10"/>
  <c r="V16" i="4"/>
  <c r="AA52" i="13"/>
  <c r="AB39" i="13"/>
  <c r="AB40" i="13" s="1"/>
  <c r="AC29" i="13"/>
  <c r="AC27" i="13"/>
  <c r="R55" i="11"/>
  <c r="G55" i="11"/>
  <c r="K55" i="11"/>
  <c r="J55" i="11"/>
  <c r="K56" i="11"/>
  <c r="K57" i="11" s="1"/>
  <c r="Q55" i="11"/>
  <c r="P55" i="11"/>
  <c r="H55" i="11"/>
  <c r="D55" i="11"/>
  <c r="F55" i="11"/>
  <c r="P56" i="11"/>
  <c r="P57" i="11" s="1"/>
  <c r="H56" i="11"/>
  <c r="H57" i="11" s="1"/>
  <c r="U55" i="11"/>
  <c r="M55" i="11"/>
  <c r="E55" i="11"/>
  <c r="L55" i="11"/>
  <c r="D56" i="11"/>
  <c r="F56" i="11"/>
  <c r="F57" i="11" s="1"/>
  <c r="U56" i="11"/>
  <c r="U57" i="11" s="1"/>
  <c r="M56" i="11"/>
  <c r="M57" i="11" s="1"/>
  <c r="E56" i="11"/>
  <c r="E57" i="11" s="1"/>
  <c r="Q56" i="11"/>
  <c r="Q57" i="11" s="1"/>
  <c r="L56" i="11"/>
  <c r="L57" i="11" s="1"/>
  <c r="X28" i="11" l="1"/>
  <c r="Y28" i="11" s="1"/>
  <c r="Y26" i="11" s="1"/>
  <c r="Y35" i="11" s="1"/>
  <c r="T17" i="4"/>
  <c r="Y17" i="11"/>
  <c r="Z17" i="11" s="1"/>
  <c r="Z16" i="11" s="1"/>
  <c r="Z63" i="11" s="1"/>
  <c r="S34" i="4"/>
  <c r="AA12" i="11"/>
  <c r="V55" i="11"/>
  <c r="V9" i="1"/>
  <c r="V5" i="1"/>
  <c r="V13" i="11"/>
  <c r="W29" i="11"/>
  <c r="W41" i="11" s="1"/>
  <c r="W56" i="11" s="1"/>
  <c r="W54" i="11" s="1"/>
  <c r="V11" i="11"/>
  <c r="W6" i="11"/>
  <c r="W11" i="1"/>
  <c r="X10" i="11"/>
  <c r="Y16" i="11"/>
  <c r="Y63" i="11" s="1"/>
  <c r="X63" i="11"/>
  <c r="X60" i="11"/>
  <c r="X11" i="1" s="1"/>
  <c r="R54" i="4"/>
  <c r="R55" i="4"/>
  <c r="R19" i="10"/>
  <c r="S29" i="4"/>
  <c r="T34" i="4"/>
  <c r="V11" i="1"/>
  <c r="J20" i="17"/>
  <c r="J21" i="17"/>
  <c r="C5" i="16" s="1"/>
  <c r="R13" i="10"/>
  <c r="X21" i="1"/>
  <c r="T6" i="10"/>
  <c r="AB52" i="13"/>
  <c r="W16" i="4"/>
  <c r="AC39" i="13"/>
  <c r="AC40" i="13" s="1"/>
  <c r="AD27" i="13"/>
  <c r="AD29" i="13"/>
  <c r="T134" i="12"/>
  <c r="U132" i="12"/>
  <c r="V132" i="12" s="1"/>
  <c r="W132" i="12" s="1"/>
  <c r="X132" i="12" s="1"/>
  <c r="W131" i="12"/>
  <c r="X131" i="12" s="1"/>
  <c r="T129" i="12"/>
  <c r="W127" i="12"/>
  <c r="V127" i="12"/>
  <c r="U127" i="12"/>
  <c r="T123" i="12"/>
  <c r="U122" i="12"/>
  <c r="V122" i="12" s="1"/>
  <c r="W122" i="12" s="1"/>
  <c r="X122" i="12" s="1"/>
  <c r="U118" i="12"/>
  <c r="V118" i="12" s="1"/>
  <c r="W118" i="12" s="1"/>
  <c r="X118" i="12" s="1"/>
  <c r="T117" i="12"/>
  <c r="W115" i="12"/>
  <c r="V115" i="12"/>
  <c r="U115" i="12"/>
  <c r="T111" i="12"/>
  <c r="U111" i="12" s="1"/>
  <c r="V111" i="12" s="1"/>
  <c r="W111" i="12" s="1"/>
  <c r="X111" i="12" s="1"/>
  <c r="Y111" i="12" s="1"/>
  <c r="Z111" i="12" s="1"/>
  <c r="AA111" i="12" s="1"/>
  <c r="AB111" i="12" s="1"/>
  <c r="AC111" i="12" s="1"/>
  <c r="AD111" i="12" s="1"/>
  <c r="U108" i="12"/>
  <c r="V108" i="12" s="1"/>
  <c r="W108" i="12" s="1"/>
  <c r="X108" i="12" s="1"/>
  <c r="U104" i="12"/>
  <c r="V104" i="12" s="1"/>
  <c r="W104" i="12" s="1"/>
  <c r="X104" i="12" s="1"/>
  <c r="T104" i="12"/>
  <c r="X103" i="12"/>
  <c r="U103" i="12"/>
  <c r="V103" i="12" s="1"/>
  <c r="W103" i="12" s="1"/>
  <c r="T103" i="12"/>
  <c r="T102" i="12"/>
  <c r="T101" i="12"/>
  <c r="W99" i="12"/>
  <c r="V99" i="12"/>
  <c r="U99" i="12"/>
  <c r="U95" i="12"/>
  <c r="V95" i="12" s="1"/>
  <c r="W95" i="12" s="1"/>
  <c r="X95" i="12" s="1"/>
  <c r="T95" i="12"/>
  <c r="U94" i="12"/>
  <c r="V94" i="12" s="1"/>
  <c r="W94" i="12" s="1"/>
  <c r="X94" i="12" s="1"/>
  <c r="Y94" i="12" s="1"/>
  <c r="Z94" i="12" s="1"/>
  <c r="AA94" i="12" s="1"/>
  <c r="AB94" i="12" s="1"/>
  <c r="AC94" i="12" s="1"/>
  <c r="AD94" i="12" s="1"/>
  <c r="U93" i="12"/>
  <c r="V93" i="12" s="1"/>
  <c r="W93" i="12" s="1"/>
  <c r="X93" i="12" s="1"/>
  <c r="X90" i="12"/>
  <c r="U90" i="12"/>
  <c r="V90" i="12" s="1"/>
  <c r="W90" i="12" s="1"/>
  <c r="U89" i="12"/>
  <c r="V89" i="12" s="1"/>
  <c r="W89" i="12" s="1"/>
  <c r="X89" i="12" s="1"/>
  <c r="T87" i="12"/>
  <c r="W85" i="12"/>
  <c r="V85" i="12"/>
  <c r="U85" i="12"/>
  <c r="U81" i="12"/>
  <c r="V81" i="12" s="1"/>
  <c r="W81" i="12" s="1"/>
  <c r="X81" i="12" s="1"/>
  <c r="T81" i="12"/>
  <c r="U80" i="12"/>
  <c r="V80" i="12" s="1"/>
  <c r="W80" i="12" s="1"/>
  <c r="X80" i="12" s="1"/>
  <c r="Y80" i="12" s="1"/>
  <c r="Z80" i="12" s="1"/>
  <c r="AA80" i="12" s="1"/>
  <c r="AB80" i="12" s="1"/>
  <c r="AC80" i="12" s="1"/>
  <c r="AD80" i="12" s="1"/>
  <c r="U79" i="12"/>
  <c r="V79" i="12" s="1"/>
  <c r="W79" i="12" s="1"/>
  <c r="X79" i="12" s="1"/>
  <c r="U76" i="12"/>
  <c r="V76" i="12" s="1"/>
  <c r="W76" i="12" s="1"/>
  <c r="X76" i="12" s="1"/>
  <c r="Y76" i="12" s="1"/>
  <c r="Z76" i="12" s="1"/>
  <c r="AA76" i="12" s="1"/>
  <c r="AB76" i="12" s="1"/>
  <c r="AC76" i="12" s="1"/>
  <c r="AD76" i="12" s="1"/>
  <c r="T75" i="12"/>
  <c r="W73" i="12"/>
  <c r="V73" i="12"/>
  <c r="U73" i="12"/>
  <c r="U72" i="12"/>
  <c r="U74" i="12" s="1"/>
  <c r="AD67" i="12"/>
  <c r="AC67" i="12"/>
  <c r="AB67" i="12"/>
  <c r="AA67" i="12"/>
  <c r="Z67" i="12"/>
  <c r="Y67" i="12"/>
  <c r="X67" i="12"/>
  <c r="W67" i="12"/>
  <c r="V67" i="12"/>
  <c r="U67" i="12"/>
  <c r="U131" i="12" s="1"/>
  <c r="V131" i="12" s="1"/>
  <c r="U66" i="12"/>
  <c r="V66" i="12" s="1"/>
  <c r="V60" i="12"/>
  <c r="AD58" i="12"/>
  <c r="J58" i="12"/>
  <c r="E58" i="12"/>
  <c r="E62" i="12" s="1"/>
  <c r="W34" i="12"/>
  <c r="V34" i="12"/>
  <c r="V31" i="12" s="1"/>
  <c r="V32" i="12" s="1"/>
  <c r="U34" i="12"/>
  <c r="T34" i="12"/>
  <c r="T31" i="12" s="1"/>
  <c r="O34" i="12"/>
  <c r="E34" i="12"/>
  <c r="O31" i="12" s="1"/>
  <c r="W31" i="12"/>
  <c r="AD28" i="12"/>
  <c r="V28" i="12"/>
  <c r="N24" i="12"/>
  <c r="L24" i="12"/>
  <c r="N23" i="12"/>
  <c r="G23" i="12"/>
  <c r="S22" i="12"/>
  <c r="R22" i="12"/>
  <c r="R23" i="12" s="1"/>
  <c r="Q22" i="12"/>
  <c r="Q23" i="12" s="1"/>
  <c r="P22" i="12"/>
  <c r="N22" i="12"/>
  <c r="M22" i="12"/>
  <c r="M24" i="12" s="1"/>
  <c r="L22" i="12"/>
  <c r="K22" i="12"/>
  <c r="K24" i="12" s="1"/>
  <c r="I22" i="12"/>
  <c r="H22" i="12"/>
  <c r="H24" i="12" s="1"/>
  <c r="G22" i="12"/>
  <c r="G24" i="12" s="1"/>
  <c r="T21" i="12"/>
  <c r="S21" i="12"/>
  <c r="L21" i="12"/>
  <c r="T20" i="12"/>
  <c r="R20" i="12"/>
  <c r="J20" i="12"/>
  <c r="T19" i="12"/>
  <c r="S19" i="12"/>
  <c r="S20" i="12" s="1"/>
  <c r="R19" i="12"/>
  <c r="R21" i="12" s="1"/>
  <c r="Q19" i="12"/>
  <c r="Q21" i="12" s="1"/>
  <c r="P19" i="12"/>
  <c r="O19" i="12"/>
  <c r="O21" i="12" s="1"/>
  <c r="N19" i="12"/>
  <c r="N20" i="12" s="1"/>
  <c r="M19" i="12"/>
  <c r="L19" i="12"/>
  <c r="K19" i="12"/>
  <c r="K20" i="12" s="1"/>
  <c r="J19" i="12"/>
  <c r="J21" i="12" s="1"/>
  <c r="E19" i="12"/>
  <c r="E21" i="12" s="1"/>
  <c r="T18" i="12"/>
  <c r="AD17" i="12"/>
  <c r="U17" i="12"/>
  <c r="U19" i="12" s="1"/>
  <c r="O14" i="12"/>
  <c r="M14" i="12"/>
  <c r="L14" i="12"/>
  <c r="E14" i="12"/>
  <c r="T13" i="12"/>
  <c r="S13" i="12"/>
  <c r="S14" i="12" s="1"/>
  <c r="R13" i="12"/>
  <c r="R14" i="12" s="1"/>
  <c r="Q13" i="12"/>
  <c r="Q14" i="12" s="1"/>
  <c r="P13" i="12"/>
  <c r="P14" i="12" s="1"/>
  <c r="O13" i="12"/>
  <c r="N13" i="12"/>
  <c r="N14" i="12" s="1"/>
  <c r="M13" i="12"/>
  <c r="L13" i="12"/>
  <c r="K13" i="12"/>
  <c r="K14" i="12" s="1"/>
  <c r="J13" i="12"/>
  <c r="J14" i="12" s="1"/>
  <c r="E13" i="12"/>
  <c r="S12" i="12"/>
  <c r="S24" i="12" s="1"/>
  <c r="R12" i="12"/>
  <c r="Q12" i="12"/>
  <c r="P12" i="12"/>
  <c r="N12" i="12"/>
  <c r="M12" i="12"/>
  <c r="L12" i="12"/>
  <c r="K12" i="12"/>
  <c r="I12" i="12"/>
  <c r="I24" i="12" s="1"/>
  <c r="H12" i="12"/>
  <c r="G12" i="12"/>
  <c r="T10" i="12"/>
  <c r="S10" i="12"/>
  <c r="R10" i="12"/>
  <c r="Q10" i="12"/>
  <c r="P10" i="12"/>
  <c r="O10" i="12"/>
  <c r="O20" i="12" s="1"/>
  <c r="N10" i="12"/>
  <c r="M10" i="12"/>
  <c r="L10" i="12"/>
  <c r="L20" i="12" s="1"/>
  <c r="K10" i="12"/>
  <c r="J10" i="12"/>
  <c r="E10" i="12"/>
  <c r="S9" i="12"/>
  <c r="S23" i="12" s="1"/>
  <c r="R9" i="12"/>
  <c r="Q9" i="12"/>
  <c r="P9" i="12"/>
  <c r="N9" i="12"/>
  <c r="M9" i="12"/>
  <c r="M23" i="12" s="1"/>
  <c r="L9" i="12"/>
  <c r="L23" i="12" s="1"/>
  <c r="K9" i="12"/>
  <c r="I9" i="12"/>
  <c r="H9" i="12"/>
  <c r="G9" i="12"/>
  <c r="Y7" i="12"/>
  <c r="Z7" i="12" s="1"/>
  <c r="AA7" i="12" s="1"/>
  <c r="AB7" i="12" s="1"/>
  <c r="AC7" i="12" s="1"/>
  <c r="AD7" i="12" s="1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AD5" i="12"/>
  <c r="AC5" i="12"/>
  <c r="AB5" i="12"/>
  <c r="AA5" i="12"/>
  <c r="Z5" i="12"/>
  <c r="Y5" i="12"/>
  <c r="X5" i="12"/>
  <c r="W5" i="12"/>
  <c r="V5" i="12"/>
  <c r="U5" i="12"/>
  <c r="T4" i="12"/>
  <c r="T14" i="12" s="1"/>
  <c r="T3" i="12"/>
  <c r="O3" i="12"/>
  <c r="J3" i="12"/>
  <c r="T35" i="11"/>
  <c r="U28" i="11"/>
  <c r="U16" i="11"/>
  <c r="U13" i="11"/>
  <c r="E6" i="11"/>
  <c r="F6" i="11"/>
  <c r="G6" i="11"/>
  <c r="H6" i="11"/>
  <c r="I6" i="11"/>
  <c r="J6" i="11"/>
  <c r="K6" i="11"/>
  <c r="L6" i="11"/>
  <c r="M6" i="11"/>
  <c r="N6" i="11"/>
  <c r="P6" i="11"/>
  <c r="Q6" i="11"/>
  <c r="R6" i="11"/>
  <c r="S6" i="11"/>
  <c r="D6" i="11"/>
  <c r="F8" i="1"/>
  <c r="F90" i="11" s="1"/>
  <c r="G8" i="1"/>
  <c r="H8" i="1"/>
  <c r="H90" i="11" s="1"/>
  <c r="I8" i="1"/>
  <c r="I90" i="11" s="1"/>
  <c r="I10" i="1"/>
  <c r="I54" i="11" s="1"/>
  <c r="F11" i="1"/>
  <c r="F60" i="11" s="1"/>
  <c r="G11" i="1"/>
  <c r="G60" i="11" s="1"/>
  <c r="H11" i="1"/>
  <c r="H60" i="11" s="1"/>
  <c r="F12" i="1"/>
  <c r="F38" i="1" s="1"/>
  <c r="F52" i="11" s="1"/>
  <c r="H12" i="1"/>
  <c r="H38" i="1" s="1"/>
  <c r="H52" i="11" s="1"/>
  <c r="F14" i="1"/>
  <c r="G14" i="1"/>
  <c r="H14" i="1"/>
  <c r="H70" i="11" s="1"/>
  <c r="I14" i="1"/>
  <c r="F21" i="1"/>
  <c r="G21" i="1"/>
  <c r="H21" i="1"/>
  <c r="I21" i="1"/>
  <c r="F23" i="1"/>
  <c r="G23" i="1"/>
  <c r="H23" i="1"/>
  <c r="I24" i="1"/>
  <c r="F25" i="1"/>
  <c r="G25" i="1"/>
  <c r="G26" i="1" s="1"/>
  <c r="H25" i="1"/>
  <c r="H26" i="1" s="1"/>
  <c r="I27" i="1"/>
  <c r="G29" i="1"/>
  <c r="G94" i="11" s="1"/>
  <c r="H29" i="1"/>
  <c r="H94" i="11" s="1"/>
  <c r="I29" i="1"/>
  <c r="I94" i="11" s="1"/>
  <c r="F30" i="1"/>
  <c r="F31" i="1"/>
  <c r="I81" i="11"/>
  <c r="H81" i="11"/>
  <c r="G81" i="11"/>
  <c r="F81" i="11"/>
  <c r="I77" i="11"/>
  <c r="H77" i="11"/>
  <c r="G77" i="11"/>
  <c r="F77" i="11"/>
  <c r="I73" i="11"/>
  <c r="H73" i="11"/>
  <c r="G73" i="11"/>
  <c r="F73" i="11"/>
  <c r="D57" i="11"/>
  <c r="T42" i="11"/>
  <c r="S42" i="11"/>
  <c r="R42" i="11"/>
  <c r="Q42" i="11"/>
  <c r="P42" i="11"/>
  <c r="O42" i="11"/>
  <c r="N42" i="11"/>
  <c r="M42" i="11"/>
  <c r="L42" i="11"/>
  <c r="K42" i="11"/>
  <c r="J42" i="11"/>
  <c r="E42" i="11"/>
  <c r="U44" i="11"/>
  <c r="T26" i="11"/>
  <c r="T56" i="11" s="1"/>
  <c r="T57" i="11" s="1"/>
  <c r="O26" i="11"/>
  <c r="O56" i="11" s="1"/>
  <c r="O57" i="11" s="1"/>
  <c r="J26" i="11"/>
  <c r="J56" i="11" s="1"/>
  <c r="J57" i="11" s="1"/>
  <c r="T20" i="11"/>
  <c r="L31" i="11"/>
  <c r="T11" i="11"/>
  <c r="U11" i="11" s="1"/>
  <c r="Q115" i="4"/>
  <c r="Q116" i="4" s="1"/>
  <c r="Q112" i="4"/>
  <c r="Q113" i="4" s="1"/>
  <c r="Q109" i="4"/>
  <c r="Q110" i="4" s="1"/>
  <c r="Q106" i="4"/>
  <c r="Q107" i="4" s="1"/>
  <c r="Q103" i="4"/>
  <c r="Q100" i="4"/>
  <c r="Q97" i="4"/>
  <c r="Q94" i="4"/>
  <c r="Q91" i="4"/>
  <c r="H74" i="4"/>
  <c r="I74" i="4"/>
  <c r="J74" i="4"/>
  <c r="L74" i="4"/>
  <c r="M74" i="4"/>
  <c r="N74" i="4"/>
  <c r="O74" i="4"/>
  <c r="Q74" i="4"/>
  <c r="G74" i="4"/>
  <c r="E74" i="4"/>
  <c r="D74" i="4"/>
  <c r="H73" i="4"/>
  <c r="I73" i="4"/>
  <c r="J73" i="4"/>
  <c r="L73" i="4"/>
  <c r="M73" i="4"/>
  <c r="N73" i="4"/>
  <c r="O73" i="4"/>
  <c r="Q73" i="4"/>
  <c r="G73" i="4"/>
  <c r="E73" i="4"/>
  <c r="Q71" i="4"/>
  <c r="Q70" i="4"/>
  <c r="Q69" i="4"/>
  <c r="Q50" i="4"/>
  <c r="Q51" i="4"/>
  <c r="Q52" i="4"/>
  <c r="Q53" i="4"/>
  <c r="Q54" i="4"/>
  <c r="Q55" i="4"/>
  <c r="Q58" i="4"/>
  <c r="Q57" i="4" s="1"/>
  <c r="O115" i="4"/>
  <c r="O116" i="4" s="1"/>
  <c r="N115" i="4"/>
  <c r="N116" i="4" s="1"/>
  <c r="M115" i="4"/>
  <c r="M116" i="4" s="1"/>
  <c r="L115" i="4"/>
  <c r="L116" i="4" s="1"/>
  <c r="J115" i="4"/>
  <c r="J116" i="4" s="1"/>
  <c r="I115" i="4"/>
  <c r="I116" i="4" s="1"/>
  <c r="H115" i="4"/>
  <c r="H116" i="4" s="1"/>
  <c r="G115" i="4"/>
  <c r="G116" i="4" s="1"/>
  <c r="F115" i="4"/>
  <c r="E115" i="4"/>
  <c r="E116" i="4" s="1"/>
  <c r="D115" i="4"/>
  <c r="D116" i="4" s="1"/>
  <c r="O112" i="4"/>
  <c r="O113" i="4" s="1"/>
  <c r="N112" i="4"/>
  <c r="N113" i="4" s="1"/>
  <c r="M112" i="4"/>
  <c r="M113" i="4" s="1"/>
  <c r="L112" i="4"/>
  <c r="L113" i="4" s="1"/>
  <c r="J112" i="4"/>
  <c r="J113" i="4" s="1"/>
  <c r="I112" i="4"/>
  <c r="I113" i="4" s="1"/>
  <c r="H112" i="4"/>
  <c r="H113" i="4" s="1"/>
  <c r="G112" i="4"/>
  <c r="G113" i="4" s="1"/>
  <c r="F112" i="4"/>
  <c r="E112" i="4"/>
  <c r="E113" i="4" s="1"/>
  <c r="D112" i="4"/>
  <c r="D113" i="4" s="1"/>
  <c r="O109" i="4"/>
  <c r="O110" i="4" s="1"/>
  <c r="N109" i="4"/>
  <c r="N110" i="4" s="1"/>
  <c r="M109" i="4"/>
  <c r="M110" i="4" s="1"/>
  <c r="L109" i="4"/>
  <c r="L110" i="4" s="1"/>
  <c r="J109" i="4"/>
  <c r="J110" i="4" s="1"/>
  <c r="I109" i="4"/>
  <c r="I110" i="4" s="1"/>
  <c r="H109" i="4"/>
  <c r="H110" i="4" s="1"/>
  <c r="G109" i="4"/>
  <c r="G110" i="4" s="1"/>
  <c r="F109" i="4"/>
  <c r="E109" i="4"/>
  <c r="E110" i="4" s="1"/>
  <c r="D109" i="4"/>
  <c r="D110" i="4" s="1"/>
  <c r="O106" i="4"/>
  <c r="O107" i="4" s="1"/>
  <c r="N106" i="4"/>
  <c r="N107" i="4" s="1"/>
  <c r="M106" i="4"/>
  <c r="M107" i="4" s="1"/>
  <c r="L106" i="4"/>
  <c r="L107" i="4" s="1"/>
  <c r="J106" i="4"/>
  <c r="J107" i="4" s="1"/>
  <c r="I106" i="4"/>
  <c r="I107" i="4" s="1"/>
  <c r="H106" i="4"/>
  <c r="H107" i="4" s="1"/>
  <c r="G106" i="4"/>
  <c r="G107" i="4" s="1"/>
  <c r="F106" i="4"/>
  <c r="E106" i="4"/>
  <c r="E107" i="4" s="1"/>
  <c r="D106" i="4"/>
  <c r="D107" i="4" s="1"/>
  <c r="O103" i="4"/>
  <c r="N103" i="4"/>
  <c r="M103" i="4"/>
  <c r="L103" i="4"/>
  <c r="J103" i="4"/>
  <c r="I103" i="4"/>
  <c r="H103" i="4"/>
  <c r="G103" i="4"/>
  <c r="F103" i="4"/>
  <c r="E103" i="4"/>
  <c r="E104" i="4" s="1"/>
  <c r="D103" i="4"/>
  <c r="D104" i="4" s="1"/>
  <c r="O100" i="4"/>
  <c r="N100" i="4"/>
  <c r="M100" i="4"/>
  <c r="L100" i="4"/>
  <c r="J100" i="4"/>
  <c r="I100" i="4"/>
  <c r="H100" i="4"/>
  <c r="G100" i="4"/>
  <c r="F100" i="4"/>
  <c r="E100" i="4"/>
  <c r="E101" i="4" s="1"/>
  <c r="D100" i="4"/>
  <c r="D101" i="4" s="1"/>
  <c r="O97" i="4"/>
  <c r="N97" i="4"/>
  <c r="M97" i="4"/>
  <c r="L97" i="4"/>
  <c r="J97" i="4"/>
  <c r="I97" i="4"/>
  <c r="H97" i="4"/>
  <c r="G97" i="4"/>
  <c r="F97" i="4"/>
  <c r="E97" i="4"/>
  <c r="E98" i="4" s="1"/>
  <c r="D97" i="4"/>
  <c r="D98" i="4" s="1"/>
  <c r="O94" i="4"/>
  <c r="N94" i="4"/>
  <c r="M94" i="4"/>
  <c r="L94" i="4"/>
  <c r="J94" i="4"/>
  <c r="I94" i="4"/>
  <c r="H94" i="4"/>
  <c r="G94" i="4"/>
  <c r="F94" i="4"/>
  <c r="E94" i="4"/>
  <c r="E95" i="4" s="1"/>
  <c r="D94" i="4"/>
  <c r="D95" i="4" s="1"/>
  <c r="O91" i="4"/>
  <c r="N91" i="4"/>
  <c r="M91" i="4"/>
  <c r="L91" i="4"/>
  <c r="J91" i="4"/>
  <c r="I91" i="4"/>
  <c r="H91" i="4"/>
  <c r="G91" i="4"/>
  <c r="F91" i="4"/>
  <c r="E91" i="4"/>
  <c r="E92" i="4" s="1"/>
  <c r="D91" i="4"/>
  <c r="D92" i="4" s="1"/>
  <c r="O71" i="4"/>
  <c r="N71" i="4"/>
  <c r="M71" i="4"/>
  <c r="L71" i="4"/>
  <c r="J71" i="4"/>
  <c r="I71" i="4"/>
  <c r="H71" i="4"/>
  <c r="G71" i="4"/>
  <c r="F71" i="4"/>
  <c r="E71" i="4"/>
  <c r="D71" i="4"/>
  <c r="O70" i="4"/>
  <c r="N70" i="4"/>
  <c r="M70" i="4"/>
  <c r="L70" i="4"/>
  <c r="J70" i="4"/>
  <c r="I70" i="4"/>
  <c r="H70" i="4"/>
  <c r="G70" i="4"/>
  <c r="F70" i="4"/>
  <c r="E70" i="4"/>
  <c r="D70" i="4"/>
  <c r="O69" i="4"/>
  <c r="N69" i="4"/>
  <c r="M69" i="4"/>
  <c r="L69" i="4"/>
  <c r="J69" i="4"/>
  <c r="I69" i="4"/>
  <c r="H69" i="4"/>
  <c r="G69" i="4"/>
  <c r="F69" i="4"/>
  <c r="E69" i="4"/>
  <c r="D69" i="4"/>
  <c r="O58" i="4"/>
  <c r="O57" i="4" s="1"/>
  <c r="N58" i="4"/>
  <c r="N57" i="4" s="1"/>
  <c r="M58" i="4"/>
  <c r="M57" i="4" s="1"/>
  <c r="L58" i="4"/>
  <c r="L57" i="4" s="1"/>
  <c r="J58" i="4"/>
  <c r="J57" i="4" s="1"/>
  <c r="I58" i="4"/>
  <c r="I57" i="4" s="1"/>
  <c r="H58" i="4"/>
  <c r="H57" i="4" s="1"/>
  <c r="G58" i="4"/>
  <c r="G57" i="4" s="1"/>
  <c r="F58" i="4"/>
  <c r="F57" i="4" s="1"/>
  <c r="E58" i="4"/>
  <c r="E57" i="4" s="1"/>
  <c r="O55" i="4"/>
  <c r="N55" i="4"/>
  <c r="M55" i="4"/>
  <c r="L55" i="4"/>
  <c r="J55" i="4"/>
  <c r="I55" i="4"/>
  <c r="H55" i="4"/>
  <c r="G55" i="4"/>
  <c r="F55" i="4"/>
  <c r="E55" i="4"/>
  <c r="O54" i="4"/>
  <c r="N54" i="4"/>
  <c r="M54" i="4"/>
  <c r="L54" i="4"/>
  <c r="J54" i="4"/>
  <c r="I54" i="4"/>
  <c r="H54" i="4"/>
  <c r="G54" i="4"/>
  <c r="F54" i="4"/>
  <c r="E54" i="4"/>
  <c r="O53" i="4"/>
  <c r="N53" i="4"/>
  <c r="M53" i="4"/>
  <c r="L53" i="4"/>
  <c r="J53" i="4"/>
  <c r="I53" i="4"/>
  <c r="H53" i="4"/>
  <c r="G53" i="4"/>
  <c r="F53" i="4"/>
  <c r="E53" i="4"/>
  <c r="O52" i="4"/>
  <c r="N52" i="4"/>
  <c r="M52" i="4"/>
  <c r="L52" i="4"/>
  <c r="J52" i="4"/>
  <c r="I52" i="4"/>
  <c r="H52" i="4"/>
  <c r="G52" i="4"/>
  <c r="F52" i="4"/>
  <c r="E52" i="4"/>
  <c r="O51" i="4"/>
  <c r="N51" i="4"/>
  <c r="M51" i="4"/>
  <c r="L51" i="4"/>
  <c r="J51" i="4"/>
  <c r="I51" i="4"/>
  <c r="H51" i="4"/>
  <c r="G51" i="4"/>
  <c r="F51" i="4"/>
  <c r="E51" i="4"/>
  <c r="O50" i="4"/>
  <c r="N50" i="4"/>
  <c r="M50" i="4"/>
  <c r="L50" i="4"/>
  <c r="J50" i="4"/>
  <c r="I50" i="4"/>
  <c r="H50" i="4"/>
  <c r="G50" i="4"/>
  <c r="F50" i="4"/>
  <c r="E50" i="4"/>
  <c r="AA17" i="11" l="1"/>
  <c r="Y31" i="11"/>
  <c r="Z31" i="11" s="1"/>
  <c r="X26" i="11"/>
  <c r="X35" i="11" s="1"/>
  <c r="AB12" i="11"/>
  <c r="W10" i="1"/>
  <c r="Y60" i="11"/>
  <c r="V7" i="1"/>
  <c r="R73" i="4"/>
  <c r="R70" i="4" s="1"/>
  <c r="R8" i="4" s="1"/>
  <c r="V6" i="1"/>
  <c r="V8" i="1" s="1"/>
  <c r="X29" i="11"/>
  <c r="X41" i="11" s="1"/>
  <c r="X56" i="11" s="1"/>
  <c r="X54" i="11" s="1"/>
  <c r="U34" i="4"/>
  <c r="X6" i="11"/>
  <c r="Y10" i="11"/>
  <c r="S54" i="4"/>
  <c r="S55" i="4"/>
  <c r="S19" i="10"/>
  <c r="T29" i="4"/>
  <c r="R89" i="4"/>
  <c r="R74" i="4"/>
  <c r="W51" i="11"/>
  <c r="Z28" i="11"/>
  <c r="Z10" i="11" s="1"/>
  <c r="AA31" i="11"/>
  <c r="AB17" i="11"/>
  <c r="AA16" i="11"/>
  <c r="AA63" i="11" s="1"/>
  <c r="W5" i="1"/>
  <c r="W13" i="11"/>
  <c r="Y29" i="11"/>
  <c r="Y41" i="11" s="1"/>
  <c r="Y42" i="11" s="1"/>
  <c r="W11" i="11"/>
  <c r="U17" i="4"/>
  <c r="D5" i="16"/>
  <c r="U13" i="10"/>
  <c r="AC52" i="13"/>
  <c r="X16" i="4"/>
  <c r="AD39" i="13"/>
  <c r="AE27" i="13"/>
  <c r="AE29" i="13"/>
  <c r="F83" i="4"/>
  <c r="O83" i="4"/>
  <c r="O56" i="4" s="1"/>
  <c r="Q83" i="4"/>
  <c r="Q56" i="4" s="1"/>
  <c r="J83" i="4"/>
  <c r="J56" i="4" s="1"/>
  <c r="G83" i="4"/>
  <c r="G56" i="4" s="1"/>
  <c r="I80" i="4"/>
  <c r="L83" i="4"/>
  <c r="L56" i="4" s="1"/>
  <c r="N83" i="4"/>
  <c r="N56" i="4" s="1"/>
  <c r="I83" i="4"/>
  <c r="I56" i="4" s="1"/>
  <c r="D83" i="4"/>
  <c r="M83" i="4"/>
  <c r="M56" i="4" s="1"/>
  <c r="E83" i="4"/>
  <c r="U31" i="11"/>
  <c r="U78" i="11"/>
  <c r="V78" i="11" s="1"/>
  <c r="U82" i="11"/>
  <c r="V82" i="11" s="1"/>
  <c r="L79" i="4"/>
  <c r="Q80" i="4"/>
  <c r="J81" i="4"/>
  <c r="M81" i="4"/>
  <c r="O80" i="4"/>
  <c r="I81" i="4"/>
  <c r="H80" i="4"/>
  <c r="N80" i="4"/>
  <c r="G81" i="4"/>
  <c r="H81" i="4"/>
  <c r="M80" i="4"/>
  <c r="Q81" i="4"/>
  <c r="G80" i="4"/>
  <c r="L80" i="4"/>
  <c r="O81" i="4"/>
  <c r="J80" i="4"/>
  <c r="N81" i="4"/>
  <c r="H83" i="4"/>
  <c r="H56" i="4" s="1"/>
  <c r="G13" i="1"/>
  <c r="G66" i="11" s="1"/>
  <c r="G68" i="11" s="1"/>
  <c r="G70" i="11"/>
  <c r="F13" i="1"/>
  <c r="F66" i="11" s="1"/>
  <c r="F68" i="11" s="1"/>
  <c r="F70" i="11"/>
  <c r="I56" i="11"/>
  <c r="I57" i="11" s="1"/>
  <c r="I55" i="11"/>
  <c r="I12" i="1"/>
  <c r="I38" i="1" s="1"/>
  <c r="I52" i="11" s="1"/>
  <c r="G12" i="1"/>
  <c r="G38" i="1" s="1"/>
  <c r="G52" i="11" s="1"/>
  <c r="G90" i="11"/>
  <c r="H13" i="1"/>
  <c r="F29" i="1"/>
  <c r="F94" i="11" s="1"/>
  <c r="I13" i="1"/>
  <c r="I66" i="11" s="1"/>
  <c r="I68" i="11" s="1"/>
  <c r="I70" i="11"/>
  <c r="U74" i="11"/>
  <c r="V74" i="11" s="1"/>
  <c r="I25" i="1"/>
  <c r="I11" i="1"/>
  <c r="I60" i="11" s="1"/>
  <c r="I23" i="1"/>
  <c r="V33" i="12"/>
  <c r="T59" i="12"/>
  <c r="T32" i="12"/>
  <c r="T33" i="12" s="1"/>
  <c r="Y81" i="12"/>
  <c r="Z81" i="12" s="1"/>
  <c r="AA81" i="12" s="1"/>
  <c r="AB81" i="12" s="1"/>
  <c r="AC81" i="12" s="1"/>
  <c r="AD81" i="12" s="1"/>
  <c r="M20" i="12"/>
  <c r="M21" i="12"/>
  <c r="P24" i="12"/>
  <c r="W59" i="12"/>
  <c r="H23" i="12"/>
  <c r="W60" i="12"/>
  <c r="X34" i="12"/>
  <c r="Y93" i="12"/>
  <c r="Z93" i="12" s="1"/>
  <c r="AA93" i="12" s="1"/>
  <c r="AB93" i="12" s="1"/>
  <c r="AC93" i="12" s="1"/>
  <c r="AD93" i="12" s="1"/>
  <c r="Y131" i="12"/>
  <c r="Z131" i="12" s="1"/>
  <c r="AA131" i="12" s="1"/>
  <c r="AB131" i="12" s="1"/>
  <c r="AC131" i="12" s="1"/>
  <c r="AD131" i="12" s="1"/>
  <c r="P20" i="12"/>
  <c r="K21" i="12"/>
  <c r="I23" i="12"/>
  <c r="R24" i="12"/>
  <c r="V59" i="12"/>
  <c r="W66" i="12"/>
  <c r="V17" i="12"/>
  <c r="V19" i="12" s="1"/>
  <c r="Y89" i="12"/>
  <c r="Z89" i="12" s="1"/>
  <c r="AA89" i="12" s="1"/>
  <c r="AB89" i="12" s="1"/>
  <c r="AC89" i="12" s="1"/>
  <c r="AD89" i="12" s="1"/>
  <c r="Y108" i="12"/>
  <c r="Z108" i="12" s="1"/>
  <c r="AA108" i="12" s="1"/>
  <c r="AB108" i="12" s="1"/>
  <c r="AC108" i="12" s="1"/>
  <c r="AD108" i="12" s="1"/>
  <c r="Y132" i="12"/>
  <c r="Z132" i="12" s="1"/>
  <c r="AA132" i="12" s="1"/>
  <c r="AB132" i="12" s="1"/>
  <c r="AC132" i="12" s="1"/>
  <c r="AD132" i="12" s="1"/>
  <c r="Y79" i="12"/>
  <c r="Z79" i="12" s="1"/>
  <c r="AA79" i="12" s="1"/>
  <c r="AB79" i="12" s="1"/>
  <c r="AC79" i="12" s="1"/>
  <c r="AD79" i="12" s="1"/>
  <c r="Y103" i="12"/>
  <c r="Z103" i="12" s="1"/>
  <c r="AA103" i="12" s="1"/>
  <c r="AB103" i="12" s="1"/>
  <c r="AC103" i="12" s="1"/>
  <c r="AD103" i="12" s="1"/>
  <c r="N21" i="12"/>
  <c r="K23" i="12"/>
  <c r="W32" i="12"/>
  <c r="P21" i="12"/>
  <c r="Y90" i="12"/>
  <c r="Z90" i="12" s="1"/>
  <c r="AA90" i="12" s="1"/>
  <c r="AB90" i="12" s="1"/>
  <c r="AC90" i="12" s="1"/>
  <c r="AD90" i="12" s="1"/>
  <c r="Y104" i="12"/>
  <c r="Z104" i="12" s="1"/>
  <c r="AA104" i="12" s="1"/>
  <c r="AB104" i="12" s="1"/>
  <c r="AC104" i="12" s="1"/>
  <c r="AD104" i="12" s="1"/>
  <c r="Y122" i="12"/>
  <c r="Z122" i="12" s="1"/>
  <c r="AA122" i="12" s="1"/>
  <c r="AB122" i="12" s="1"/>
  <c r="AC122" i="12" s="1"/>
  <c r="AD122" i="12" s="1"/>
  <c r="Y118" i="12"/>
  <c r="Z118" i="12" s="1"/>
  <c r="AA118" i="12" s="1"/>
  <c r="AB118" i="12" s="1"/>
  <c r="AC118" i="12" s="1"/>
  <c r="AD118" i="12" s="1"/>
  <c r="U31" i="12"/>
  <c r="T60" i="12"/>
  <c r="Y95" i="12"/>
  <c r="Z95" i="12" s="1"/>
  <c r="AA95" i="12" s="1"/>
  <c r="AB95" i="12" s="1"/>
  <c r="AC95" i="12" s="1"/>
  <c r="AD95" i="12" s="1"/>
  <c r="Q24" i="12"/>
  <c r="V72" i="12"/>
  <c r="U77" i="12"/>
  <c r="V77" i="12" s="1"/>
  <c r="W77" i="12" s="1"/>
  <c r="X77" i="12" s="1"/>
  <c r="Y77" i="12" s="1"/>
  <c r="Z77" i="12" s="1"/>
  <c r="AA77" i="12" s="1"/>
  <c r="AB77" i="12" s="1"/>
  <c r="AC77" i="12" s="1"/>
  <c r="AD77" i="12" s="1"/>
  <c r="U91" i="12"/>
  <c r="V91" i="12" s="1"/>
  <c r="W91" i="12" s="1"/>
  <c r="X91" i="12" s="1"/>
  <c r="Y91" i="12" s="1"/>
  <c r="Z91" i="12" s="1"/>
  <c r="AA91" i="12" s="1"/>
  <c r="AB91" i="12" s="1"/>
  <c r="AC91" i="12" s="1"/>
  <c r="AD91" i="12" s="1"/>
  <c r="U78" i="12"/>
  <c r="V78" i="12" s="1"/>
  <c r="W78" i="12" s="1"/>
  <c r="X78" i="12" s="1"/>
  <c r="Y78" i="12" s="1"/>
  <c r="Z78" i="12" s="1"/>
  <c r="AA78" i="12" s="1"/>
  <c r="AB78" i="12" s="1"/>
  <c r="AC78" i="12" s="1"/>
  <c r="AD78" i="12" s="1"/>
  <c r="U88" i="12"/>
  <c r="V88" i="12" s="1"/>
  <c r="W88" i="12" s="1"/>
  <c r="X88" i="12" s="1"/>
  <c r="Y88" i="12" s="1"/>
  <c r="Z88" i="12" s="1"/>
  <c r="AA88" i="12" s="1"/>
  <c r="AB88" i="12" s="1"/>
  <c r="AC88" i="12" s="1"/>
  <c r="AD88" i="12" s="1"/>
  <c r="U92" i="12"/>
  <c r="V92" i="12" s="1"/>
  <c r="W92" i="12" s="1"/>
  <c r="X92" i="12" s="1"/>
  <c r="Y92" i="12" s="1"/>
  <c r="Z92" i="12" s="1"/>
  <c r="AA92" i="12" s="1"/>
  <c r="AB92" i="12" s="1"/>
  <c r="AC92" i="12" s="1"/>
  <c r="AD92" i="12" s="1"/>
  <c r="U114" i="12"/>
  <c r="E20" i="12"/>
  <c r="Q20" i="12"/>
  <c r="U28" i="12"/>
  <c r="U60" i="12"/>
  <c r="U84" i="12"/>
  <c r="U98" i="12"/>
  <c r="U102" i="12"/>
  <c r="V102" i="12" s="1"/>
  <c r="W102" i="12" s="1"/>
  <c r="X102" i="12" s="1"/>
  <c r="Y102" i="12" s="1"/>
  <c r="Z102" i="12" s="1"/>
  <c r="AA102" i="12" s="1"/>
  <c r="AB102" i="12" s="1"/>
  <c r="AC102" i="12" s="1"/>
  <c r="AD102" i="12" s="1"/>
  <c r="U105" i="12"/>
  <c r="V105" i="12" s="1"/>
  <c r="W105" i="12" s="1"/>
  <c r="X105" i="12" s="1"/>
  <c r="Y105" i="12" s="1"/>
  <c r="Z105" i="12" s="1"/>
  <c r="AA105" i="12" s="1"/>
  <c r="AB105" i="12" s="1"/>
  <c r="AC105" i="12" s="1"/>
  <c r="AD105" i="12" s="1"/>
  <c r="U109" i="12"/>
  <c r="V109" i="12" s="1"/>
  <c r="W109" i="12" s="1"/>
  <c r="X109" i="12" s="1"/>
  <c r="Y109" i="12" s="1"/>
  <c r="Z109" i="12" s="1"/>
  <c r="AA109" i="12" s="1"/>
  <c r="AB109" i="12" s="1"/>
  <c r="AC109" i="12" s="1"/>
  <c r="AD109" i="12" s="1"/>
  <c r="U119" i="12"/>
  <c r="V119" i="12" s="1"/>
  <c r="W119" i="12" s="1"/>
  <c r="X119" i="12" s="1"/>
  <c r="Y119" i="12" s="1"/>
  <c r="Z119" i="12" s="1"/>
  <c r="AA119" i="12" s="1"/>
  <c r="AB119" i="12" s="1"/>
  <c r="AC119" i="12" s="1"/>
  <c r="AD119" i="12" s="1"/>
  <c r="U133" i="12"/>
  <c r="V133" i="12" s="1"/>
  <c r="W133" i="12" s="1"/>
  <c r="X133" i="12" s="1"/>
  <c r="Y133" i="12" s="1"/>
  <c r="Z133" i="12" s="1"/>
  <c r="AA133" i="12" s="1"/>
  <c r="AB133" i="12" s="1"/>
  <c r="AC133" i="12" s="1"/>
  <c r="AD133" i="12" s="1"/>
  <c r="U123" i="12"/>
  <c r="V123" i="12" s="1"/>
  <c r="W123" i="12" s="1"/>
  <c r="X123" i="12" s="1"/>
  <c r="Y123" i="12" s="1"/>
  <c r="Z123" i="12" s="1"/>
  <c r="AA123" i="12" s="1"/>
  <c r="AB123" i="12" s="1"/>
  <c r="AC123" i="12" s="1"/>
  <c r="AD123" i="12" s="1"/>
  <c r="U106" i="12"/>
  <c r="V106" i="12" s="1"/>
  <c r="W106" i="12" s="1"/>
  <c r="X106" i="12" s="1"/>
  <c r="Y106" i="12" s="1"/>
  <c r="Z106" i="12" s="1"/>
  <c r="AA106" i="12" s="1"/>
  <c r="AB106" i="12" s="1"/>
  <c r="AC106" i="12" s="1"/>
  <c r="AD106" i="12" s="1"/>
  <c r="U110" i="12"/>
  <c r="V110" i="12" s="1"/>
  <c r="W110" i="12" s="1"/>
  <c r="X110" i="12" s="1"/>
  <c r="Y110" i="12" s="1"/>
  <c r="Z110" i="12" s="1"/>
  <c r="AA110" i="12" s="1"/>
  <c r="AB110" i="12" s="1"/>
  <c r="AC110" i="12" s="1"/>
  <c r="AD110" i="12" s="1"/>
  <c r="U120" i="12"/>
  <c r="V120" i="12" s="1"/>
  <c r="W120" i="12" s="1"/>
  <c r="X120" i="12" s="1"/>
  <c r="Y120" i="12" s="1"/>
  <c r="Z120" i="12" s="1"/>
  <c r="AA120" i="12" s="1"/>
  <c r="AB120" i="12" s="1"/>
  <c r="AC120" i="12" s="1"/>
  <c r="AD120" i="12" s="1"/>
  <c r="U130" i="12"/>
  <c r="V130" i="12" s="1"/>
  <c r="W130" i="12" s="1"/>
  <c r="X130" i="12" s="1"/>
  <c r="Y130" i="12" s="1"/>
  <c r="Z130" i="12" s="1"/>
  <c r="AA130" i="12" s="1"/>
  <c r="AB130" i="12" s="1"/>
  <c r="AC130" i="12" s="1"/>
  <c r="AD130" i="12" s="1"/>
  <c r="U126" i="12"/>
  <c r="U134" i="12"/>
  <c r="V134" i="12" s="1"/>
  <c r="W134" i="12" s="1"/>
  <c r="X134" i="12" s="1"/>
  <c r="Y134" i="12" s="1"/>
  <c r="Z134" i="12" s="1"/>
  <c r="AA134" i="12" s="1"/>
  <c r="AB134" i="12" s="1"/>
  <c r="AC134" i="12" s="1"/>
  <c r="AD134" i="12" s="1"/>
  <c r="U107" i="12"/>
  <c r="V107" i="12" s="1"/>
  <c r="W107" i="12" s="1"/>
  <c r="X107" i="12" s="1"/>
  <c r="Y107" i="12" s="1"/>
  <c r="Z107" i="12" s="1"/>
  <c r="AA107" i="12" s="1"/>
  <c r="AB107" i="12" s="1"/>
  <c r="AC107" i="12" s="1"/>
  <c r="AD107" i="12" s="1"/>
  <c r="U121" i="12"/>
  <c r="V121" i="12" s="1"/>
  <c r="W121" i="12" s="1"/>
  <c r="X121" i="12" s="1"/>
  <c r="Y121" i="12" s="1"/>
  <c r="Z121" i="12" s="1"/>
  <c r="AA121" i="12" s="1"/>
  <c r="AB121" i="12" s="1"/>
  <c r="AC121" i="12" s="1"/>
  <c r="AD121" i="12" s="1"/>
  <c r="T34" i="11"/>
  <c r="T37" i="11" s="1"/>
  <c r="U34" i="11"/>
  <c r="T28" i="11"/>
  <c r="T31" i="11" s="1"/>
  <c r="T58" i="11"/>
  <c r="U10" i="11"/>
  <c r="U12" i="11"/>
  <c r="O31" i="11"/>
  <c r="F26" i="1"/>
  <c r="I26" i="1" s="1"/>
  <c r="L81" i="4"/>
  <c r="Q79" i="4"/>
  <c r="J79" i="4"/>
  <c r="I79" i="4"/>
  <c r="H79" i="4"/>
  <c r="O79" i="4"/>
  <c r="G79" i="4"/>
  <c r="N79" i="4"/>
  <c r="M79" i="4"/>
  <c r="J58" i="11"/>
  <c r="J71" i="11"/>
  <c r="E71" i="11"/>
  <c r="O58" i="11"/>
  <c r="Q74" i="11"/>
  <c r="L74" i="11"/>
  <c r="S78" i="11"/>
  <c r="P74" i="11"/>
  <c r="R74" i="11"/>
  <c r="S74" i="11"/>
  <c r="P78" i="11"/>
  <c r="Q78" i="11"/>
  <c r="R78" i="11"/>
  <c r="M74" i="11"/>
  <c r="L78" i="11"/>
  <c r="N74" i="11"/>
  <c r="M78" i="11"/>
  <c r="N78" i="11"/>
  <c r="E58" i="11"/>
  <c r="E56" i="4"/>
  <c r="AC12" i="11" l="1"/>
  <c r="W55" i="11"/>
  <c r="W9" i="1"/>
  <c r="Z6" i="11"/>
  <c r="Z11" i="11" s="1"/>
  <c r="R69" i="4"/>
  <c r="R71" i="4"/>
  <c r="R23" i="4" s="1"/>
  <c r="V17" i="4"/>
  <c r="J8" i="18"/>
  <c r="R112" i="4"/>
  <c r="R30" i="4" s="1"/>
  <c r="R109" i="4"/>
  <c r="R26" i="4" s="1"/>
  <c r="R106" i="4"/>
  <c r="R25" i="4" s="1"/>
  <c r="R115" i="4"/>
  <c r="R35" i="4" s="1"/>
  <c r="R31" i="4" s="1"/>
  <c r="X10" i="1"/>
  <c r="X51" i="11"/>
  <c r="U29" i="4"/>
  <c r="T54" i="4"/>
  <c r="T55" i="4"/>
  <c r="T19" i="10"/>
  <c r="U19" i="10" s="1"/>
  <c r="W7" i="1"/>
  <c r="S73" i="4"/>
  <c r="S70" i="4" s="1"/>
  <c r="S8" i="4" s="1"/>
  <c r="W6" i="1"/>
  <c r="W8" i="1" s="1"/>
  <c r="AC17" i="11"/>
  <c r="AB16" i="11"/>
  <c r="AB63" i="11" s="1"/>
  <c r="X5" i="1"/>
  <c r="X13" i="11"/>
  <c r="Y61" i="11"/>
  <c r="Z61" i="11" s="1"/>
  <c r="Y11" i="1"/>
  <c r="V90" i="11"/>
  <c r="R88" i="4"/>
  <c r="V17" i="13"/>
  <c r="V12" i="1"/>
  <c r="AB31" i="11"/>
  <c r="AA28" i="11"/>
  <c r="AA10" i="11" s="1"/>
  <c r="X11" i="11"/>
  <c r="Y54" i="11"/>
  <c r="Y6" i="11"/>
  <c r="Z26" i="11"/>
  <c r="Z35" i="11" s="1"/>
  <c r="V34" i="4"/>
  <c r="E5" i="16"/>
  <c r="V77" i="11"/>
  <c r="W78" i="11"/>
  <c r="W74" i="11"/>
  <c r="V73" i="11"/>
  <c r="V81" i="11"/>
  <c r="W82" i="11"/>
  <c r="AD52" i="13"/>
  <c r="Y16" i="4"/>
  <c r="AD40" i="13"/>
  <c r="AF29" i="13"/>
  <c r="AF27" i="13" s="1"/>
  <c r="Q76" i="4"/>
  <c r="F84" i="4"/>
  <c r="F85" i="4" s="1"/>
  <c r="I76" i="4"/>
  <c r="I77" i="4" s="1"/>
  <c r="F56" i="4"/>
  <c r="E84" i="4"/>
  <c r="E85" i="4" s="1"/>
  <c r="F20" i="1"/>
  <c r="F22" i="1" s="1"/>
  <c r="F40" i="1" s="1"/>
  <c r="H76" i="4"/>
  <c r="H77" i="4" s="1"/>
  <c r="L76" i="4"/>
  <c r="L77" i="4" s="1"/>
  <c r="I20" i="1"/>
  <c r="J76" i="4"/>
  <c r="J77" i="4" s="1"/>
  <c r="M76" i="4"/>
  <c r="M77" i="4" s="1"/>
  <c r="N76" i="4"/>
  <c r="N77" i="4" s="1"/>
  <c r="Q77" i="4"/>
  <c r="G76" i="4"/>
  <c r="G77" i="4" s="1"/>
  <c r="O76" i="4"/>
  <c r="O77" i="4" s="1"/>
  <c r="G20" i="1"/>
  <c r="H20" i="1"/>
  <c r="H66" i="11"/>
  <c r="H68" i="11" s="1"/>
  <c r="U37" i="11"/>
  <c r="V37" i="11" s="1"/>
  <c r="U86" i="12"/>
  <c r="V84" i="12"/>
  <c r="V126" i="12"/>
  <c r="U128" i="12"/>
  <c r="U116" i="12"/>
  <c r="V114" i="12"/>
  <c r="X66" i="12"/>
  <c r="W28" i="12"/>
  <c r="W17" i="12"/>
  <c r="W19" i="12" s="1"/>
  <c r="V74" i="12"/>
  <c r="W72" i="12"/>
  <c r="U100" i="12"/>
  <c r="V100" i="12" s="1"/>
  <c r="W100" i="12" s="1"/>
  <c r="X100" i="12" s="1"/>
  <c r="Y100" i="12" s="1"/>
  <c r="Z100" i="12" s="1"/>
  <c r="AA100" i="12" s="1"/>
  <c r="AB100" i="12" s="1"/>
  <c r="AC100" i="12" s="1"/>
  <c r="AD100" i="12" s="1"/>
  <c r="V98" i="12"/>
  <c r="W98" i="12" s="1"/>
  <c r="X98" i="12" s="1"/>
  <c r="Y98" i="12" s="1"/>
  <c r="Z98" i="12" s="1"/>
  <c r="AA98" i="12" s="1"/>
  <c r="AB98" i="12" s="1"/>
  <c r="AC98" i="12" s="1"/>
  <c r="AD98" i="12" s="1"/>
  <c r="U32" i="12"/>
  <c r="U33" i="12" s="1"/>
  <c r="U59" i="12"/>
  <c r="X115" i="12"/>
  <c r="X60" i="12"/>
  <c r="X73" i="12"/>
  <c r="X127" i="12"/>
  <c r="X31" i="12"/>
  <c r="X99" i="12"/>
  <c r="X85" i="12"/>
  <c r="Y34" i="12"/>
  <c r="R75" i="11"/>
  <c r="T63" i="11"/>
  <c r="S75" i="11"/>
  <c r="Q75" i="11"/>
  <c r="AD12" i="11" l="1"/>
  <c r="AA6" i="11"/>
  <c r="AA11" i="11" s="1"/>
  <c r="R100" i="4"/>
  <c r="R14" i="4" s="1"/>
  <c r="R97" i="4"/>
  <c r="R13" i="4" s="1"/>
  <c r="R94" i="4"/>
  <c r="R11" i="4" s="1"/>
  <c r="R103" i="4"/>
  <c r="R18" i="4" s="1"/>
  <c r="R91" i="4"/>
  <c r="R10" i="4" s="1"/>
  <c r="W34" i="4"/>
  <c r="S88" i="4"/>
  <c r="W17" i="13"/>
  <c r="W12" i="1"/>
  <c r="W38" i="1" s="1"/>
  <c r="W90" i="11"/>
  <c r="K8" i="18"/>
  <c r="W17" i="4"/>
  <c r="Z29" i="11"/>
  <c r="Z41" i="11" s="1"/>
  <c r="Z42" i="11" s="1"/>
  <c r="Z60" i="11"/>
  <c r="Z11" i="1" s="1"/>
  <c r="AA61" i="11"/>
  <c r="R22" i="4"/>
  <c r="R21" i="4" s="1"/>
  <c r="Y5" i="1"/>
  <c r="Y7" i="11"/>
  <c r="Y13" i="11"/>
  <c r="R9" i="4"/>
  <c r="R83" i="4"/>
  <c r="R84" i="4" s="1"/>
  <c r="R8" i="10" s="1"/>
  <c r="T73" i="4"/>
  <c r="T70" i="4" s="1"/>
  <c r="X7" i="1"/>
  <c r="Y7" i="1" s="1"/>
  <c r="X6" i="1"/>
  <c r="Y6" i="1" s="1"/>
  <c r="Y56" i="11"/>
  <c r="Y10" i="1"/>
  <c r="Y51" i="11"/>
  <c r="J49" i="19"/>
  <c r="U54" i="4"/>
  <c r="J30" i="18" s="1"/>
  <c r="U55" i="4"/>
  <c r="C7" i="16" s="1"/>
  <c r="C8" i="16" s="1"/>
  <c r="C15" i="16" s="1"/>
  <c r="J28" i="18" s="1"/>
  <c r="V29" i="4"/>
  <c r="Y11" i="11"/>
  <c r="Z13" i="11"/>
  <c r="Z7" i="11"/>
  <c r="Z5" i="1"/>
  <c r="AD17" i="11"/>
  <c r="AC16" i="11"/>
  <c r="AC63" i="11" s="1"/>
  <c r="X55" i="11"/>
  <c r="X9" i="1"/>
  <c r="AA26" i="11"/>
  <c r="AA35" i="11" s="1"/>
  <c r="AC31" i="11"/>
  <c r="AB28" i="11"/>
  <c r="AB26" i="11" s="1"/>
  <c r="V38" i="1"/>
  <c r="V52" i="11"/>
  <c r="S89" i="4"/>
  <c r="S74" i="4"/>
  <c r="F5" i="16"/>
  <c r="V17" i="1"/>
  <c r="X74" i="11"/>
  <c r="X73" i="11" s="1"/>
  <c r="W73" i="11"/>
  <c r="Y73" i="11" s="1"/>
  <c r="W81" i="11"/>
  <c r="W17" i="1" s="1"/>
  <c r="X82" i="11"/>
  <c r="X81" i="11" s="1"/>
  <c r="X17" i="1" s="1"/>
  <c r="V70" i="11"/>
  <c r="V66" i="11" s="1"/>
  <c r="V15" i="1"/>
  <c r="X78" i="11"/>
  <c r="X77" i="11" s="1"/>
  <c r="X16" i="1" s="1"/>
  <c r="W77" i="11"/>
  <c r="W16" i="1" s="1"/>
  <c r="V16" i="1"/>
  <c r="AE52" i="13"/>
  <c r="Z16" i="4"/>
  <c r="AE39" i="13"/>
  <c r="AG29" i="13"/>
  <c r="AG27" i="13" s="1"/>
  <c r="V34" i="11"/>
  <c r="W37" i="11"/>
  <c r="F39" i="1"/>
  <c r="F28" i="1"/>
  <c r="I39" i="1"/>
  <c r="I22" i="1"/>
  <c r="I40" i="1" s="1"/>
  <c r="I28" i="1"/>
  <c r="G39" i="1"/>
  <c r="G28" i="1"/>
  <c r="G22" i="1"/>
  <c r="G40" i="1" s="1"/>
  <c r="H39" i="1"/>
  <c r="H28" i="1"/>
  <c r="H22" i="1"/>
  <c r="H40" i="1" s="1"/>
  <c r="X17" i="12"/>
  <c r="X19" i="12" s="1"/>
  <c r="Y66" i="12"/>
  <c r="X58" i="12"/>
  <c r="X28" i="12"/>
  <c r="W33" i="12"/>
  <c r="X32" i="12"/>
  <c r="X59" i="12"/>
  <c r="V116" i="12"/>
  <c r="W114" i="12"/>
  <c r="W74" i="12"/>
  <c r="X72" i="12"/>
  <c r="V128" i="12"/>
  <c r="W126" i="12"/>
  <c r="W84" i="12"/>
  <c r="V86" i="12"/>
  <c r="Y60" i="12"/>
  <c r="Z34" i="12"/>
  <c r="Y73" i="12"/>
  <c r="Y127" i="12"/>
  <c r="Y31" i="12"/>
  <c r="Y115" i="12"/>
  <c r="Y85" i="12"/>
  <c r="Y99" i="12"/>
  <c r="AE12" i="11" l="1"/>
  <c r="AB10" i="11"/>
  <c r="AA29" i="11"/>
  <c r="AA41" i="11" s="1"/>
  <c r="AA42" i="11" s="1"/>
  <c r="Y45" i="1"/>
  <c r="Z45" i="1" s="1"/>
  <c r="AA45" i="1" s="1"/>
  <c r="AB45" i="1" s="1"/>
  <c r="AC45" i="1" s="1"/>
  <c r="AD45" i="1" s="1"/>
  <c r="AE45" i="1" s="1"/>
  <c r="AF45" i="1" s="1"/>
  <c r="AG45" i="1" s="1"/>
  <c r="AH45" i="1" s="1"/>
  <c r="S97" i="4"/>
  <c r="S13" i="4" s="1"/>
  <c r="S94" i="4"/>
  <c r="S11" i="4" s="1"/>
  <c r="S103" i="4"/>
  <c r="S18" i="4" s="1"/>
  <c r="S91" i="4"/>
  <c r="S10" i="4" s="1"/>
  <c r="S100" i="4"/>
  <c r="S14" i="4" s="1"/>
  <c r="J32" i="18"/>
  <c r="J31" i="18"/>
  <c r="W52" i="11"/>
  <c r="U73" i="4"/>
  <c r="Y8" i="1"/>
  <c r="X34" i="4"/>
  <c r="J20" i="18"/>
  <c r="T74" i="4"/>
  <c r="T89" i="4"/>
  <c r="Y55" i="11"/>
  <c r="Y9" i="1"/>
  <c r="S69" i="4"/>
  <c r="S71" i="4"/>
  <c r="S23" i="4" s="1"/>
  <c r="AB61" i="11"/>
  <c r="AA60" i="11"/>
  <c r="AA11" i="1" s="1"/>
  <c r="R9" i="10"/>
  <c r="S109" i="4"/>
  <c r="S26" i="4" s="1"/>
  <c r="S106" i="4"/>
  <c r="S25" i="4" s="1"/>
  <c r="S115" i="4"/>
  <c r="S35" i="4" s="1"/>
  <c r="S31" i="4" s="1"/>
  <c r="S112" i="4"/>
  <c r="S30" i="4" s="1"/>
  <c r="Y57" i="11"/>
  <c r="Z57" i="11" s="1"/>
  <c r="Y58" i="11"/>
  <c r="Y44" i="1"/>
  <c r="Z44" i="1" s="1"/>
  <c r="AA44" i="1" s="1"/>
  <c r="AB44" i="1" s="1"/>
  <c r="AC44" i="1" s="1"/>
  <c r="AD44" i="1" s="1"/>
  <c r="AE44" i="1" s="1"/>
  <c r="AF44" i="1" s="1"/>
  <c r="AG44" i="1" s="1"/>
  <c r="AH44" i="1" s="1"/>
  <c r="AE17" i="11"/>
  <c r="AD16" i="11"/>
  <c r="AD63" i="11" s="1"/>
  <c r="V73" i="4"/>
  <c r="Z7" i="1"/>
  <c r="L8" i="18"/>
  <c r="X17" i="4"/>
  <c r="R14" i="10"/>
  <c r="S14" i="10"/>
  <c r="AB29" i="11"/>
  <c r="AB35" i="11"/>
  <c r="X8" i="1"/>
  <c r="AD31" i="11"/>
  <c r="AC28" i="11"/>
  <c r="AC26" i="11" s="1"/>
  <c r="T8" i="4"/>
  <c r="U70" i="4"/>
  <c r="AA7" i="11"/>
  <c r="AA5" i="1"/>
  <c r="AA13" i="11"/>
  <c r="AB6" i="11"/>
  <c r="K49" i="19"/>
  <c r="V54" i="4"/>
  <c r="K30" i="18" s="1"/>
  <c r="V19" i="10"/>
  <c r="V55" i="4"/>
  <c r="D7" i="16" s="1"/>
  <c r="D8" i="16" s="1"/>
  <c r="D15" i="16" s="1"/>
  <c r="K28" i="18" s="1"/>
  <c r="W29" i="4"/>
  <c r="R58" i="4"/>
  <c r="G5" i="16"/>
  <c r="W15" i="1"/>
  <c r="W14" i="1" s="1"/>
  <c r="W13" i="1" s="1"/>
  <c r="W20" i="1" s="1"/>
  <c r="W70" i="11"/>
  <c r="W66" i="11" s="1"/>
  <c r="Y74" i="11"/>
  <c r="Z74" i="11" s="1"/>
  <c r="Y15" i="1"/>
  <c r="X15" i="1"/>
  <c r="X14" i="1" s="1"/>
  <c r="X13" i="1" s="1"/>
  <c r="X70" i="11"/>
  <c r="X66" i="11" s="1"/>
  <c r="V14" i="1"/>
  <c r="V13" i="1" s="1"/>
  <c r="V20" i="1" s="1"/>
  <c r="Y81" i="11"/>
  <c r="Y77" i="11"/>
  <c r="Y70" i="11" s="1"/>
  <c r="V68" i="11"/>
  <c r="AF52" i="13"/>
  <c r="AA16" i="4"/>
  <c r="AE40" i="13"/>
  <c r="AH27" i="13"/>
  <c r="AH29" i="13"/>
  <c r="X37" i="11"/>
  <c r="X34" i="11" s="1"/>
  <c r="W34" i="11"/>
  <c r="Y34" i="11"/>
  <c r="Y37" i="11" s="1"/>
  <c r="Z37" i="11" s="1"/>
  <c r="F32" i="1"/>
  <c r="F91" i="11"/>
  <c r="I32" i="1"/>
  <c r="I91" i="11"/>
  <c r="H32" i="1"/>
  <c r="H91" i="11"/>
  <c r="G32" i="1"/>
  <c r="G91" i="11"/>
  <c r="X33" i="12"/>
  <c r="Z73" i="12"/>
  <c r="Z127" i="12"/>
  <c r="Z99" i="12"/>
  <c r="Z85" i="12"/>
  <c r="AA34" i="12"/>
  <c r="Z115" i="12"/>
  <c r="Z31" i="12"/>
  <c r="Y32" i="12"/>
  <c r="Y59" i="12"/>
  <c r="W128" i="12"/>
  <c r="X126" i="12"/>
  <c r="X74" i="12"/>
  <c r="Y72" i="12"/>
  <c r="X61" i="12"/>
  <c r="X62" i="12"/>
  <c r="X114" i="12"/>
  <c r="W116" i="12"/>
  <c r="X84" i="12"/>
  <c r="W86" i="12"/>
  <c r="Y28" i="12"/>
  <c r="Y17" i="12"/>
  <c r="Y19" i="12" s="1"/>
  <c r="Z66" i="12"/>
  <c r="Y58" i="12"/>
  <c r="J33" i="18" l="1"/>
  <c r="J19" i="18" s="1"/>
  <c r="AB41" i="11"/>
  <c r="AB42" i="11" s="1"/>
  <c r="AF12" i="11"/>
  <c r="S9" i="10"/>
  <c r="K32" i="18"/>
  <c r="K31" i="18"/>
  <c r="AC29" i="11"/>
  <c r="AC35" i="11"/>
  <c r="Y34" i="4"/>
  <c r="N48" i="19"/>
  <c r="N10" i="19" s="1"/>
  <c r="J48" i="19"/>
  <c r="J10" i="19" s="1"/>
  <c r="Y17" i="13"/>
  <c r="Y16" i="13" s="1"/>
  <c r="Y5" i="13" s="1"/>
  <c r="Y12" i="1"/>
  <c r="Y90" i="11"/>
  <c r="J2" i="18"/>
  <c r="J3" i="18" s="1"/>
  <c r="U88" i="4"/>
  <c r="AE31" i="11"/>
  <c r="AD28" i="11"/>
  <c r="AD26" i="11" s="1"/>
  <c r="AB5" i="1"/>
  <c r="AB7" i="11"/>
  <c r="AB13" i="11"/>
  <c r="T88" i="4"/>
  <c r="X17" i="13"/>
  <c r="X12" i="1"/>
  <c r="X20" i="1" s="1"/>
  <c r="X90" i="11"/>
  <c r="AC61" i="11"/>
  <c r="AB60" i="11"/>
  <c r="AB11" i="1" s="1"/>
  <c r="AB11" i="11"/>
  <c r="AF17" i="11"/>
  <c r="AE16" i="11"/>
  <c r="AE63" i="11" s="1"/>
  <c r="S22" i="4"/>
  <c r="S21" i="4" s="1"/>
  <c r="S9" i="4"/>
  <c r="S58" i="4" s="1"/>
  <c r="S83" i="4"/>
  <c r="S84" i="4" s="1"/>
  <c r="S8" i="10" s="1"/>
  <c r="U74" i="4"/>
  <c r="U89" i="4"/>
  <c r="AC10" i="11"/>
  <c r="AA57" i="11"/>
  <c r="Z56" i="11"/>
  <c r="T109" i="4"/>
  <c r="T106" i="4"/>
  <c r="T115" i="4"/>
  <c r="T112" i="4"/>
  <c r="M8" i="18"/>
  <c r="Y17" i="4"/>
  <c r="T69" i="4"/>
  <c r="T71" i="4"/>
  <c r="W73" i="4"/>
  <c r="AA6" i="1"/>
  <c r="AA8" i="1" s="1"/>
  <c r="AA7" i="1"/>
  <c r="W54" i="4"/>
  <c r="L30" i="18" s="1"/>
  <c r="W19" i="10"/>
  <c r="W55" i="4"/>
  <c r="E7" i="16" s="1"/>
  <c r="E8" i="16" s="1"/>
  <c r="E15" i="16" s="1"/>
  <c r="L28" i="18" s="1"/>
  <c r="X29" i="4"/>
  <c r="K33" i="18"/>
  <c r="K19" i="18" s="1"/>
  <c r="K20" i="18"/>
  <c r="U8" i="4"/>
  <c r="U80" i="4"/>
  <c r="V80" i="4" s="1"/>
  <c r="Z6" i="1"/>
  <c r="Z8" i="1" s="1"/>
  <c r="H5" i="16"/>
  <c r="Y66" i="11"/>
  <c r="Y82" i="11"/>
  <c r="Z82" i="11" s="1"/>
  <c r="Y17" i="1"/>
  <c r="Y78" i="11"/>
  <c r="Z78" i="11" s="1"/>
  <c r="Y16" i="1"/>
  <c r="V22" i="1"/>
  <c r="V40" i="1" s="1"/>
  <c r="V39" i="1"/>
  <c r="W68" i="11"/>
  <c r="Z73" i="11"/>
  <c r="AA74" i="11"/>
  <c r="X68" i="11"/>
  <c r="W39" i="1"/>
  <c r="W22" i="1"/>
  <c r="W40" i="1" s="1"/>
  <c r="AG52" i="13"/>
  <c r="AB16" i="4"/>
  <c r="AF39" i="13"/>
  <c r="Z34" i="11"/>
  <c r="AA37" i="11"/>
  <c r="H41" i="1"/>
  <c r="H34" i="1"/>
  <c r="I41" i="1"/>
  <c r="I34" i="1"/>
  <c r="G41" i="1"/>
  <c r="G34" i="1"/>
  <c r="F41" i="1"/>
  <c r="F34" i="1"/>
  <c r="Z17" i="12"/>
  <c r="Z19" i="12" s="1"/>
  <c r="AA66" i="12"/>
  <c r="Z58" i="12"/>
  <c r="Z28" i="12"/>
  <c r="X128" i="12"/>
  <c r="Y126" i="12"/>
  <c r="AA73" i="12"/>
  <c r="AA127" i="12"/>
  <c r="AA31" i="12"/>
  <c r="AA99" i="12"/>
  <c r="AA85" i="12"/>
  <c r="AA115" i="12"/>
  <c r="AB34" i="12"/>
  <c r="AA60" i="12"/>
  <c r="Y84" i="12"/>
  <c r="X86" i="12"/>
  <c r="Y114" i="12"/>
  <c r="X116" i="12"/>
  <c r="Y33" i="12"/>
  <c r="Y74" i="12"/>
  <c r="Z72" i="12"/>
  <c r="Z60" i="12"/>
  <c r="Y61" i="12"/>
  <c r="Y62" i="12"/>
  <c r="Z32" i="12"/>
  <c r="Z59" i="12"/>
  <c r="AD10" i="11" l="1"/>
  <c r="AH12" i="11"/>
  <c r="AG12" i="11"/>
  <c r="Y14" i="1"/>
  <c r="Y13" i="1" s="1"/>
  <c r="Y20" i="1" s="1"/>
  <c r="J5" i="18" s="1"/>
  <c r="X39" i="1"/>
  <c r="X22" i="1"/>
  <c r="X40" i="1" s="1"/>
  <c r="L2" i="18"/>
  <c r="AA17" i="13"/>
  <c r="AA16" i="13" s="1"/>
  <c r="AA5" i="13" s="1"/>
  <c r="AA54" i="13" s="1"/>
  <c r="AA90" i="11"/>
  <c r="W88" i="4"/>
  <c r="X54" i="4"/>
  <c r="M30" i="18" s="1"/>
  <c r="X19" i="10"/>
  <c r="X55" i="4"/>
  <c r="F7" i="16" s="1"/>
  <c r="F8" i="16" s="1"/>
  <c r="F15" i="16" s="1"/>
  <c r="M28" i="18" s="1"/>
  <c r="Y29" i="4"/>
  <c r="AC6" i="11"/>
  <c r="Y38" i="1"/>
  <c r="Y52" i="11"/>
  <c r="L20" i="18"/>
  <c r="X38" i="1"/>
  <c r="X52" i="11"/>
  <c r="Y54" i="13"/>
  <c r="X5" i="13"/>
  <c r="Y34" i="13"/>
  <c r="T30" i="4"/>
  <c r="U112" i="4"/>
  <c r="L31" i="18"/>
  <c r="L32" i="18"/>
  <c r="U115" i="4"/>
  <c r="T35" i="4"/>
  <c r="T31" i="4" s="1"/>
  <c r="T97" i="4"/>
  <c r="T94" i="4"/>
  <c r="T103" i="4"/>
  <c r="T91" i="4"/>
  <c r="T100" i="4"/>
  <c r="Z34" i="4"/>
  <c r="AD61" i="11"/>
  <c r="AC60" i="11"/>
  <c r="AC11" i="1" s="1"/>
  <c r="U109" i="4"/>
  <c r="T26" i="4"/>
  <c r="AB6" i="1"/>
  <c r="AB8" i="1" s="1"/>
  <c r="AB7" i="1"/>
  <c r="X73" i="4"/>
  <c r="O48" i="19"/>
  <c r="O10" i="19" s="1"/>
  <c r="K48" i="19"/>
  <c r="K10" i="19" s="1"/>
  <c r="K2" i="18"/>
  <c r="K3" i="18" s="1"/>
  <c r="Z17" i="13"/>
  <c r="Z16" i="13" s="1"/>
  <c r="Z5" i="13" s="1"/>
  <c r="Z54" i="13" s="1"/>
  <c r="Z90" i="11"/>
  <c r="V88" i="4"/>
  <c r="Z54" i="11"/>
  <c r="Z58" i="11"/>
  <c r="AD29" i="11"/>
  <c r="AD35" i="11"/>
  <c r="U106" i="4"/>
  <c r="T25" i="4"/>
  <c r="V70" i="4"/>
  <c r="V8" i="4" s="1"/>
  <c r="W80" i="4"/>
  <c r="T23" i="4"/>
  <c r="U71" i="4"/>
  <c r="AB57" i="11"/>
  <c r="AA56" i="11"/>
  <c r="AG17" i="11"/>
  <c r="AF16" i="11"/>
  <c r="AF63" i="11" s="1"/>
  <c r="AF31" i="11"/>
  <c r="AE28" i="11"/>
  <c r="AE26" i="11" s="1"/>
  <c r="AC41" i="11"/>
  <c r="AC42" i="11" s="1"/>
  <c r="T9" i="4"/>
  <c r="U69" i="4"/>
  <c r="T83" i="4"/>
  <c r="T84" i="4" s="1"/>
  <c r="T8" i="10" s="1"/>
  <c r="AD6" i="11"/>
  <c r="N8" i="18"/>
  <c r="Z17" i="4"/>
  <c r="I5" i="16"/>
  <c r="AB74" i="11"/>
  <c r="AA73" i="11"/>
  <c r="AA82" i="11"/>
  <c r="Z81" i="11"/>
  <c r="Z17" i="1" s="1"/>
  <c r="Z15" i="1"/>
  <c r="AA78" i="11"/>
  <c r="Z77" i="11"/>
  <c r="Z16" i="1" s="1"/>
  <c r="Y68" i="11"/>
  <c r="AH52" i="13"/>
  <c r="AD16" i="4" s="1"/>
  <c r="AC16" i="4"/>
  <c r="AF40" i="13"/>
  <c r="AB37" i="11"/>
  <c r="Y128" i="12"/>
  <c r="Z126" i="12"/>
  <c r="AB127" i="12"/>
  <c r="AB99" i="12"/>
  <c r="AB85" i="12"/>
  <c r="AB115" i="12"/>
  <c r="AC34" i="12"/>
  <c r="AB73" i="12"/>
  <c r="AB31" i="12"/>
  <c r="AA32" i="12"/>
  <c r="AA59" i="12"/>
  <c r="Y86" i="12"/>
  <c r="Z84" i="12"/>
  <c r="AA72" i="12"/>
  <c r="Z74" i="12"/>
  <c r="Z61" i="12"/>
  <c r="Z62" i="12"/>
  <c r="Z33" i="12"/>
  <c r="Z114" i="12"/>
  <c r="Y116" i="12"/>
  <c r="AB66" i="12"/>
  <c r="AB60" i="12" s="1"/>
  <c r="AA58" i="12"/>
  <c r="AA17" i="12"/>
  <c r="AA19" i="12" s="1"/>
  <c r="AA28" i="12"/>
  <c r="L33" i="18" l="1"/>
  <c r="L19" i="18" s="1"/>
  <c r="Y22" i="1"/>
  <c r="Y40" i="1" s="1"/>
  <c r="Y39" i="1"/>
  <c r="AD41" i="11"/>
  <c r="U107" i="4"/>
  <c r="V107" i="4" s="1"/>
  <c r="U25" i="4"/>
  <c r="U103" i="4"/>
  <c r="T18" i="4"/>
  <c r="Z33" i="13"/>
  <c r="Z46" i="13" s="1"/>
  <c r="Y50" i="13"/>
  <c r="X34" i="13"/>
  <c r="M33" i="18"/>
  <c r="M19" i="18" s="1"/>
  <c r="M20" i="18"/>
  <c r="AE29" i="11"/>
  <c r="AE35" i="11"/>
  <c r="T11" i="4"/>
  <c r="U94" i="4"/>
  <c r="W5" i="13"/>
  <c r="X54" i="13"/>
  <c r="AD42" i="11"/>
  <c r="M2" i="18"/>
  <c r="M3" i="18" s="1"/>
  <c r="AB17" i="13"/>
  <c r="AB16" i="13" s="1"/>
  <c r="AB5" i="13" s="1"/>
  <c r="AB54" i="13" s="1"/>
  <c r="AB90" i="11"/>
  <c r="X88" i="4"/>
  <c r="T13" i="4"/>
  <c r="U97" i="4"/>
  <c r="U12" i="10"/>
  <c r="J9" i="18"/>
  <c r="M31" i="18"/>
  <c r="M32" i="18"/>
  <c r="Y55" i="4"/>
  <c r="G7" i="16" s="1"/>
  <c r="G8" i="16" s="1"/>
  <c r="G15" i="16" s="1"/>
  <c r="N28" i="18" s="1"/>
  <c r="Y54" i="4"/>
  <c r="N30" i="18" s="1"/>
  <c r="Y19" i="10"/>
  <c r="Z29" i="4"/>
  <c r="O8" i="18"/>
  <c r="AA17" i="4"/>
  <c r="AH17" i="11"/>
  <c r="AH16" i="11" s="1"/>
  <c r="AH63" i="11" s="1"/>
  <c r="AG16" i="11"/>
  <c r="AG63" i="11" s="1"/>
  <c r="Z10" i="1"/>
  <c r="Z51" i="11"/>
  <c r="U116" i="4"/>
  <c r="V116" i="4" s="1"/>
  <c r="U35" i="4"/>
  <c r="U31" i="4" s="1"/>
  <c r="AA54" i="11"/>
  <c r="AA58" i="11"/>
  <c r="U110" i="4"/>
  <c r="V110" i="4" s="1"/>
  <c r="U26" i="4"/>
  <c r="AD13" i="11"/>
  <c r="AD5" i="1"/>
  <c r="AD7" i="11"/>
  <c r="AC57" i="11"/>
  <c r="AB56" i="11"/>
  <c r="W12" i="10"/>
  <c r="L9" i="18"/>
  <c r="T10" i="4"/>
  <c r="U91" i="4"/>
  <c r="U23" i="4"/>
  <c r="U81" i="4"/>
  <c r="V81" i="4" s="1"/>
  <c r="AE61" i="11"/>
  <c r="AD60" i="11"/>
  <c r="AD11" i="1" s="1"/>
  <c r="U113" i="4"/>
  <c r="V113" i="4" s="1"/>
  <c r="U30" i="4"/>
  <c r="L3" i="18"/>
  <c r="T22" i="4"/>
  <c r="T21" i="4" s="1"/>
  <c r="V12" i="10"/>
  <c r="K9" i="18"/>
  <c r="AG31" i="11"/>
  <c r="AF28" i="11"/>
  <c r="AF26" i="11" s="1"/>
  <c r="AD11" i="11"/>
  <c r="X80" i="4"/>
  <c r="W70" i="4"/>
  <c r="W8" i="4" s="1"/>
  <c r="AA34" i="4"/>
  <c r="AE10" i="11"/>
  <c r="AC5" i="1"/>
  <c r="AC7" i="11"/>
  <c r="AC13" i="11"/>
  <c r="U9" i="4"/>
  <c r="U79" i="4"/>
  <c r="U83" i="4"/>
  <c r="U84" i="4" s="1"/>
  <c r="T14" i="4"/>
  <c r="U100" i="4"/>
  <c r="AC11" i="11"/>
  <c r="J5" i="16"/>
  <c r="AB82" i="11"/>
  <c r="AA81" i="11"/>
  <c r="AA17" i="1" s="1"/>
  <c r="AA15" i="1"/>
  <c r="AB78" i="11"/>
  <c r="AA77" i="11"/>
  <c r="AA16" i="1" s="1"/>
  <c r="AC74" i="11"/>
  <c r="AB73" i="11"/>
  <c r="Z14" i="1"/>
  <c r="Z70" i="11"/>
  <c r="AG40" i="13"/>
  <c r="AG39" i="13"/>
  <c r="AC37" i="11"/>
  <c r="Z86" i="12"/>
  <c r="AA84" i="12"/>
  <c r="AB72" i="12"/>
  <c r="AA74" i="12"/>
  <c r="Z116" i="12"/>
  <c r="AA114" i="12"/>
  <c r="AA61" i="12"/>
  <c r="AA62" i="12"/>
  <c r="AC66" i="12"/>
  <c r="AB28" i="12"/>
  <c r="AB58" i="12"/>
  <c r="AB17" i="12"/>
  <c r="AB19" i="12" s="1"/>
  <c r="AA33" i="12"/>
  <c r="AC31" i="12"/>
  <c r="AC99" i="12"/>
  <c r="AC85" i="12"/>
  <c r="AC115" i="12"/>
  <c r="AC60" i="12"/>
  <c r="AD34" i="12"/>
  <c r="AC127" i="12"/>
  <c r="AC73" i="12"/>
  <c r="AB59" i="12"/>
  <c r="AB32" i="12"/>
  <c r="AB33" i="12" s="1"/>
  <c r="Z128" i="12"/>
  <c r="AA126" i="12"/>
  <c r="T58" i="4" l="1"/>
  <c r="Z34" i="13"/>
  <c r="Y80" i="4"/>
  <c r="X70" i="4"/>
  <c r="X8" i="4" s="1"/>
  <c r="W81" i="4"/>
  <c r="W110" i="4"/>
  <c r="P8" i="18"/>
  <c r="AB17" i="4"/>
  <c r="T14" i="10"/>
  <c r="U14" i="10" s="1"/>
  <c r="U15" i="10" s="1"/>
  <c r="AE41" i="11"/>
  <c r="AE42" i="11" s="1"/>
  <c r="U14" i="4"/>
  <c r="U101" i="4"/>
  <c r="V101" i="4" s="1"/>
  <c r="U22" i="4"/>
  <c r="U21" i="4" s="1"/>
  <c r="AF29" i="11"/>
  <c r="AF35" i="11"/>
  <c r="U10" i="4"/>
  <c r="U92" i="4"/>
  <c r="V92" i="4" s="1"/>
  <c r="AA10" i="1"/>
  <c r="AA51" i="11"/>
  <c r="U76" i="4"/>
  <c r="U77" i="4" s="1"/>
  <c r="V79" i="4"/>
  <c r="AH31" i="11"/>
  <c r="AH28" i="11" s="1"/>
  <c r="AH26" i="11" s="1"/>
  <c r="AG28" i="11"/>
  <c r="AG26" i="11" s="1"/>
  <c r="T9" i="10"/>
  <c r="U9" i="10" s="1"/>
  <c r="AF10" i="11"/>
  <c r="Z54" i="4"/>
  <c r="O30" i="18" s="1"/>
  <c r="Z19" i="10"/>
  <c r="Z55" i="4"/>
  <c r="H7" i="16" s="1"/>
  <c r="H8" i="16" s="1"/>
  <c r="H15" i="16" s="1"/>
  <c r="O28" i="18" s="1"/>
  <c r="AA29" i="4"/>
  <c r="Z50" i="13"/>
  <c r="V15" i="4" s="1"/>
  <c r="AA33" i="13"/>
  <c r="X12" i="10"/>
  <c r="M9" i="18"/>
  <c r="U13" i="4"/>
  <c r="U98" i="4"/>
  <c r="V98" i="4" s="1"/>
  <c r="N32" i="18"/>
  <c r="N31" i="18"/>
  <c r="X50" i="13"/>
  <c r="U15" i="4"/>
  <c r="N20" i="18"/>
  <c r="Z18" i="1"/>
  <c r="Z13" i="1" s="1"/>
  <c r="Z21" i="1"/>
  <c r="V6" i="10"/>
  <c r="AF61" i="11"/>
  <c r="AE60" i="11"/>
  <c r="AE11" i="1" s="1"/>
  <c r="AC6" i="1"/>
  <c r="AC8" i="1" s="1"/>
  <c r="AC7" i="1"/>
  <c r="Y73" i="4"/>
  <c r="AD57" i="11"/>
  <c r="AC56" i="11"/>
  <c r="W116" i="4"/>
  <c r="AE6" i="11"/>
  <c r="AE11" i="11" s="1"/>
  <c r="Z55" i="11"/>
  <c r="Z9" i="1"/>
  <c r="V5" i="13"/>
  <c r="W54" i="13"/>
  <c r="U18" i="4"/>
  <c r="U104" i="4"/>
  <c r="V104" i="4" s="1"/>
  <c r="U85" i="4"/>
  <c r="U8" i="10"/>
  <c r="J10" i="18"/>
  <c r="AB54" i="11"/>
  <c r="AB58" i="11"/>
  <c r="AB34" i="4"/>
  <c r="W113" i="4"/>
  <c r="AD6" i="1"/>
  <c r="AD8" i="1" s="1"/>
  <c r="AD7" i="1"/>
  <c r="Z73" i="4"/>
  <c r="U11" i="4"/>
  <c r="U58" i="4" s="1"/>
  <c r="U95" i="4"/>
  <c r="V95" i="4" s="1"/>
  <c r="T12" i="10"/>
  <c r="W107" i="4"/>
  <c r="K5" i="16"/>
  <c r="AA14" i="1"/>
  <c r="Z71" i="11"/>
  <c r="Z66" i="11"/>
  <c r="AC78" i="11"/>
  <c r="AB77" i="11"/>
  <c r="AB16" i="1" s="1"/>
  <c r="AA70" i="11"/>
  <c r="AB15" i="1"/>
  <c r="AD74" i="11"/>
  <c r="AC73" i="11"/>
  <c r="AC82" i="11"/>
  <c r="AB81" i="11"/>
  <c r="AB17" i="1" s="1"/>
  <c r="AH39" i="13"/>
  <c r="AH40" i="13" s="1"/>
  <c r="AD37" i="11"/>
  <c r="AC32" i="12"/>
  <c r="AC59" i="12"/>
  <c r="AB126" i="12"/>
  <c r="AA128" i="12"/>
  <c r="AA86" i="12"/>
  <c r="AB84" i="12"/>
  <c r="AC58" i="12"/>
  <c r="AC28" i="12"/>
  <c r="AC17" i="12"/>
  <c r="AA116" i="12"/>
  <c r="AB114" i="12"/>
  <c r="AD99" i="12"/>
  <c r="AD85" i="12"/>
  <c r="AD115" i="12"/>
  <c r="C57" i="12"/>
  <c r="AD60" i="12"/>
  <c r="AD62" i="12"/>
  <c r="AD73" i="12"/>
  <c r="AD31" i="12"/>
  <c r="AD127" i="12"/>
  <c r="AB61" i="12"/>
  <c r="AB62" i="12"/>
  <c r="AC72" i="12"/>
  <c r="AB74" i="12"/>
  <c r="N33" i="18" l="1"/>
  <c r="N19" i="18" s="1"/>
  <c r="AG10" i="11"/>
  <c r="AE57" i="11"/>
  <c r="AD56" i="11"/>
  <c r="V103" i="4"/>
  <c r="V18" i="4" s="1"/>
  <c r="W104" i="4"/>
  <c r="T15" i="4"/>
  <c r="U57" i="4"/>
  <c r="U56" i="4"/>
  <c r="V76" i="4"/>
  <c r="V77" i="4" s="1"/>
  <c r="W79" i="4"/>
  <c r="N2" i="18"/>
  <c r="N3" i="18" s="1"/>
  <c r="AC17" i="13"/>
  <c r="AC16" i="13" s="1"/>
  <c r="AC5" i="13" s="1"/>
  <c r="AC54" i="13" s="1"/>
  <c r="AC90" i="11"/>
  <c r="Y88" i="4"/>
  <c r="AA34" i="13"/>
  <c r="AA46" i="13"/>
  <c r="AA55" i="11"/>
  <c r="AA9" i="1"/>
  <c r="Q8" i="18"/>
  <c r="AC17" i="4"/>
  <c r="V54" i="13"/>
  <c r="V50" i="13"/>
  <c r="X113" i="4"/>
  <c r="V74" i="4"/>
  <c r="V71" i="4" s="1"/>
  <c r="V23" i="4" s="1"/>
  <c r="V89" i="4"/>
  <c r="Z12" i="1"/>
  <c r="Z20" i="1" s="1"/>
  <c r="AG6" i="11"/>
  <c r="AA54" i="4"/>
  <c r="P30" i="18" s="1"/>
  <c r="AA19" i="10"/>
  <c r="AA55" i="4"/>
  <c r="I7" i="16" s="1"/>
  <c r="I8" i="16" s="1"/>
  <c r="I15" i="16" s="1"/>
  <c r="P28" i="18" s="1"/>
  <c r="AB29" i="4"/>
  <c r="V91" i="4"/>
  <c r="V10" i="4" s="1"/>
  <c r="W92" i="4"/>
  <c r="X110" i="4"/>
  <c r="AH29" i="11"/>
  <c r="AH41" i="11" s="1"/>
  <c r="AH35" i="11"/>
  <c r="X107" i="4"/>
  <c r="O20" i="18"/>
  <c r="AG61" i="11"/>
  <c r="AF60" i="11"/>
  <c r="AF11" i="1" s="1"/>
  <c r="AH10" i="11"/>
  <c r="X81" i="4"/>
  <c r="S12" i="10"/>
  <c r="T15" i="10"/>
  <c r="AE5" i="1"/>
  <c r="AE7" i="11"/>
  <c r="AE13" i="11"/>
  <c r="O32" i="18"/>
  <c r="O31" i="18"/>
  <c r="AF41" i="11"/>
  <c r="AF42" i="11" s="1"/>
  <c r="AD17" i="13"/>
  <c r="AD16" i="13" s="1"/>
  <c r="AD5" i="13" s="1"/>
  <c r="AD54" i="13" s="1"/>
  <c r="O2" i="18"/>
  <c r="AD90" i="11"/>
  <c r="Z88" i="4"/>
  <c r="V97" i="4"/>
  <c r="V13" i="4" s="1"/>
  <c r="W98" i="4"/>
  <c r="AF6" i="11"/>
  <c r="AF11" i="11" s="1"/>
  <c r="X116" i="4"/>
  <c r="U12" i="4"/>
  <c r="V100" i="4"/>
  <c r="V14" i="4" s="1"/>
  <c r="W101" i="4"/>
  <c r="Z80" i="4"/>
  <c r="Y70" i="4"/>
  <c r="Y8" i="4" s="1"/>
  <c r="AC34" i="4"/>
  <c r="AB10" i="1"/>
  <c r="AB51" i="11"/>
  <c r="W95" i="4"/>
  <c r="V94" i="4"/>
  <c r="V11" i="4" s="1"/>
  <c r="AC54" i="11"/>
  <c r="AC58" i="11"/>
  <c r="AG29" i="11"/>
  <c r="AG35" i="11"/>
  <c r="L5" i="16"/>
  <c r="AA71" i="11"/>
  <c r="AA66" i="11"/>
  <c r="AC15" i="1"/>
  <c r="AD78" i="11"/>
  <c r="AC77" i="11"/>
  <c r="AC16" i="1" s="1"/>
  <c r="AB70" i="11"/>
  <c r="Z67" i="11"/>
  <c r="Z68" i="11"/>
  <c r="AE74" i="11"/>
  <c r="AD73" i="11"/>
  <c r="AB14" i="1"/>
  <c r="AD82" i="11"/>
  <c r="AC81" i="11"/>
  <c r="AC17" i="1" s="1"/>
  <c r="AE37" i="11"/>
  <c r="AC61" i="12"/>
  <c r="AC62" i="12"/>
  <c r="AD32" i="12"/>
  <c r="AD33" i="12" s="1"/>
  <c r="AD59" i="12"/>
  <c r="AD61" i="12"/>
  <c r="AB116" i="12"/>
  <c r="AC114" i="12"/>
  <c r="AC126" i="12"/>
  <c r="AB128" i="12"/>
  <c r="AC74" i="12"/>
  <c r="AD72" i="12"/>
  <c r="AD74" i="12" s="1"/>
  <c r="AB86" i="12"/>
  <c r="AC84" i="12"/>
  <c r="AD19" i="12"/>
  <c r="AC19" i="12"/>
  <c r="AC33" i="12"/>
  <c r="O33" i="18" l="1"/>
  <c r="O19" i="18" s="1"/>
  <c r="O3" i="18"/>
  <c r="AG41" i="11"/>
  <c r="AG42" i="11" s="1"/>
  <c r="AD34" i="4"/>
  <c r="X98" i="4"/>
  <c r="W97" i="4"/>
  <c r="W13" i="4" s="1"/>
  <c r="W14" i="10" s="1"/>
  <c r="W15" i="10" s="1"/>
  <c r="AE6" i="1"/>
  <c r="AE8" i="1" s="1"/>
  <c r="AE7" i="1"/>
  <c r="AA73" i="4"/>
  <c r="AG7" i="11"/>
  <c r="AG5" i="1"/>
  <c r="AG13" i="11"/>
  <c r="R8" i="18"/>
  <c r="AD17" i="4"/>
  <c r="S8" i="18" s="1"/>
  <c r="V12" i="4"/>
  <c r="Y107" i="4"/>
  <c r="AG11" i="11"/>
  <c r="W76" i="4"/>
  <c r="W77" i="4" s="1"/>
  <c r="X79" i="4"/>
  <c r="W69" i="4"/>
  <c r="R12" i="10"/>
  <c r="R15" i="10" s="1"/>
  <c r="S15" i="10"/>
  <c r="Z52" i="11"/>
  <c r="Z38" i="1"/>
  <c r="W89" i="4"/>
  <c r="W74" i="4"/>
  <c r="W71" i="4" s="1"/>
  <c r="W23" i="4" s="1"/>
  <c r="AA12" i="1"/>
  <c r="AA80" i="4"/>
  <c r="Z70" i="4"/>
  <c r="Z8" i="4" s="1"/>
  <c r="W100" i="4"/>
  <c r="W14" i="4" s="1"/>
  <c r="X101" i="4"/>
  <c r="V115" i="4"/>
  <c r="V35" i="4" s="1"/>
  <c r="V31" i="4" s="1"/>
  <c r="V109" i="4"/>
  <c r="V26" i="4" s="1"/>
  <c r="V106" i="4"/>
  <c r="V25" i="4" s="1"/>
  <c r="V112" i="4"/>
  <c r="V30" i="4" s="1"/>
  <c r="V69" i="4"/>
  <c r="Y81" i="4"/>
  <c r="Y110" i="4"/>
  <c r="AA21" i="1"/>
  <c r="AA18" i="1"/>
  <c r="AA13" i="1" s="1"/>
  <c r="W6" i="10"/>
  <c r="AH6" i="11"/>
  <c r="AA50" i="13"/>
  <c r="W15" i="4" s="1"/>
  <c r="AB33" i="13"/>
  <c r="AB46" i="13" s="1"/>
  <c r="K5" i="18"/>
  <c r="Z39" i="1"/>
  <c r="Z22" i="1"/>
  <c r="Z40" i="1" s="1"/>
  <c r="AC10" i="1"/>
  <c r="AC51" i="11"/>
  <c r="V14" i="10"/>
  <c r="V15" i="10" s="1"/>
  <c r="O9" i="18"/>
  <c r="Z12" i="10"/>
  <c r="X92" i="4"/>
  <c r="W91" i="4"/>
  <c r="W10" i="4" s="1"/>
  <c r="Y113" i="4"/>
  <c r="T56" i="4"/>
  <c r="T57" i="4"/>
  <c r="T12" i="4"/>
  <c r="W103" i="4"/>
  <c r="W18" i="4" s="1"/>
  <c r="X104" i="4"/>
  <c r="X95" i="4"/>
  <c r="W94" i="4"/>
  <c r="W11" i="4" s="1"/>
  <c r="Y116" i="4"/>
  <c r="AH61" i="11"/>
  <c r="AH60" i="11" s="1"/>
  <c r="AH11" i="1" s="1"/>
  <c r="AG60" i="11"/>
  <c r="AG11" i="1" s="1"/>
  <c r="AB54" i="4"/>
  <c r="Q30" i="18" s="1"/>
  <c r="AB19" i="10"/>
  <c r="AB55" i="4"/>
  <c r="J7" i="16" s="1"/>
  <c r="J8" i="16" s="1"/>
  <c r="J15" i="16" s="1"/>
  <c r="Q28" i="18" s="1"/>
  <c r="AC29" i="4"/>
  <c r="P32" i="18"/>
  <c r="P31" i="18"/>
  <c r="AB55" i="11"/>
  <c r="AB9" i="1"/>
  <c r="P20" i="18"/>
  <c r="W50" i="13"/>
  <c r="S15" i="4" s="1"/>
  <c r="R15" i="4"/>
  <c r="N9" i="18"/>
  <c r="Y12" i="10"/>
  <c r="AD54" i="11"/>
  <c r="AD58" i="11"/>
  <c r="AF7" i="11"/>
  <c r="AF5" i="1"/>
  <c r="AF13" i="11"/>
  <c r="AF57" i="11"/>
  <c r="AE56" i="11"/>
  <c r="AC70" i="11"/>
  <c r="AC14" i="1"/>
  <c r="AE78" i="11"/>
  <c r="AD77" i="11"/>
  <c r="AD16" i="1" s="1"/>
  <c r="AF74" i="11"/>
  <c r="AE73" i="11"/>
  <c r="AA68" i="11"/>
  <c r="AA67" i="11"/>
  <c r="AD15" i="1"/>
  <c r="AE82" i="11"/>
  <c r="AD81" i="11"/>
  <c r="AD17" i="1" s="1"/>
  <c r="AB71" i="11"/>
  <c r="AB66" i="11"/>
  <c r="AF37" i="11"/>
  <c r="AD126" i="12"/>
  <c r="AD128" i="12" s="1"/>
  <c r="AC128" i="12"/>
  <c r="AC116" i="12"/>
  <c r="AD114" i="12"/>
  <c r="AD116" i="12" s="1"/>
  <c r="AC86" i="12"/>
  <c r="AD84" i="12"/>
  <c r="AD86" i="12" s="1"/>
  <c r="P33" i="18" l="1"/>
  <c r="P19" i="18" s="1"/>
  <c r="AA20" i="1"/>
  <c r="L5" i="18" s="1"/>
  <c r="V9" i="10"/>
  <c r="V22" i="4"/>
  <c r="V21" i="4" s="1"/>
  <c r="AH42" i="11"/>
  <c r="AC55" i="11"/>
  <c r="AC9" i="1"/>
  <c r="AA39" i="1"/>
  <c r="AA22" i="1"/>
  <c r="AA40" i="1" s="1"/>
  <c r="Y101" i="4"/>
  <c r="X100" i="4"/>
  <c r="X14" i="4" s="1"/>
  <c r="Y79" i="4"/>
  <c r="X76" i="4"/>
  <c r="X77" i="4" s="1"/>
  <c r="AC54" i="4"/>
  <c r="R30" i="18" s="1"/>
  <c r="AC19" i="10"/>
  <c r="AC55" i="4"/>
  <c r="K7" i="16" s="1"/>
  <c r="K8" i="16" s="1"/>
  <c r="K15" i="16" s="1"/>
  <c r="R28" i="18" s="1"/>
  <c r="AD29" i="4"/>
  <c r="AE17" i="13"/>
  <c r="AE16" i="13" s="1"/>
  <c r="AE5" i="13" s="1"/>
  <c r="AE54" i="13" s="1"/>
  <c r="AE90" i="11"/>
  <c r="P2" i="18"/>
  <c r="P3" i="18" s="1"/>
  <c r="AA88" i="4"/>
  <c r="AG6" i="1"/>
  <c r="AG8" i="1" s="1"/>
  <c r="AG7" i="1"/>
  <c r="AC73" i="4"/>
  <c r="AB80" i="4"/>
  <c r="AA70" i="4"/>
  <c r="AA8" i="4" s="1"/>
  <c r="Q20" i="18"/>
  <c r="Q31" i="18"/>
  <c r="Q33" i="18" s="1"/>
  <c r="Q19" i="18" s="1"/>
  <c r="Q32" i="18"/>
  <c r="Z110" i="4"/>
  <c r="AA52" i="11"/>
  <c r="AA38" i="1"/>
  <c r="Z107" i="4"/>
  <c r="AB21" i="1"/>
  <c r="AB18" i="1"/>
  <c r="AB13" i="1" s="1"/>
  <c r="X6" i="10"/>
  <c r="W12" i="4"/>
  <c r="Z113" i="4"/>
  <c r="AB34" i="13"/>
  <c r="Z81" i="4"/>
  <c r="W115" i="4"/>
  <c r="W35" i="4" s="1"/>
  <c r="W31" i="4" s="1"/>
  <c r="W112" i="4"/>
  <c r="W30" i="4" s="1"/>
  <c r="W109" i="4"/>
  <c r="W26" i="4" s="1"/>
  <c r="W106" i="4"/>
  <c r="W25" i="4" s="1"/>
  <c r="Y98" i="4"/>
  <c r="X97" i="4"/>
  <c r="X13" i="4" s="1"/>
  <c r="W9" i="4"/>
  <c r="W83" i="4"/>
  <c r="V9" i="4"/>
  <c r="V58" i="4" s="1"/>
  <c r="V57" i="4" s="1"/>
  <c r="V83" i="4"/>
  <c r="Y104" i="4"/>
  <c r="X103" i="4"/>
  <c r="X18" i="4" s="1"/>
  <c r="R57" i="4"/>
  <c r="R56" i="4"/>
  <c r="R12" i="4"/>
  <c r="Z116" i="4"/>
  <c r="X91" i="4"/>
  <c r="X10" i="4" s="1"/>
  <c r="Y92" i="4"/>
  <c r="AH7" i="11"/>
  <c r="AH5" i="1"/>
  <c r="AH13" i="11"/>
  <c r="AD10" i="1"/>
  <c r="AD51" i="11"/>
  <c r="AF6" i="1"/>
  <c r="AF8" i="1" s="1"/>
  <c r="AF7" i="1"/>
  <c r="AB73" i="4"/>
  <c r="S57" i="4"/>
  <c r="S56" i="4"/>
  <c r="S12" i="4"/>
  <c r="AE58" i="11"/>
  <c r="AE54" i="11"/>
  <c r="AG57" i="11"/>
  <c r="AF56" i="11"/>
  <c r="X89" i="4"/>
  <c r="X74" i="4"/>
  <c r="X71" i="4" s="1"/>
  <c r="X23" i="4" s="1"/>
  <c r="AB12" i="1"/>
  <c r="AH11" i="11"/>
  <c r="Y95" i="4"/>
  <c r="X94" i="4"/>
  <c r="X11" i="4" s="1"/>
  <c r="AF78" i="11"/>
  <c r="AE77" i="11"/>
  <c r="AE16" i="1" s="1"/>
  <c r="AD14" i="1"/>
  <c r="AB68" i="11"/>
  <c r="AB67" i="11"/>
  <c r="AD70" i="11"/>
  <c r="AE15" i="1"/>
  <c r="AF82" i="11"/>
  <c r="AE81" i="11"/>
  <c r="AE17" i="1" s="1"/>
  <c r="AG74" i="11"/>
  <c r="AF73" i="11"/>
  <c r="AC66" i="11"/>
  <c r="AC71" i="11"/>
  <c r="AG37" i="11"/>
  <c r="D34" i="10"/>
  <c r="E33" i="10" s="1"/>
  <c r="P29" i="10"/>
  <c r="K29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D15" i="10"/>
  <c r="U31" i="1"/>
  <c r="U25" i="1"/>
  <c r="U26" i="1" s="1"/>
  <c r="Y26" i="1" s="1"/>
  <c r="U11" i="1"/>
  <c r="U60" i="11" s="1"/>
  <c r="U61" i="11" s="1"/>
  <c r="W9" i="10" l="1"/>
  <c r="W58" i="4"/>
  <c r="W57" i="4" s="1"/>
  <c r="W84" i="4"/>
  <c r="W85" i="4" s="1"/>
  <c r="W22" i="4"/>
  <c r="W21" i="4" s="1"/>
  <c r="AG90" i="11"/>
  <c r="AC88" i="4"/>
  <c r="R2" i="18"/>
  <c r="AG17" i="13"/>
  <c r="AG16" i="13" s="1"/>
  <c r="AG5" i="13" s="1"/>
  <c r="AG54" i="13" s="1"/>
  <c r="W56" i="4"/>
  <c r="AB50" i="13"/>
  <c r="X15" i="4" s="1"/>
  <c r="X12" i="4" s="1"/>
  <c r="AC33" i="13"/>
  <c r="R31" i="18"/>
  <c r="R32" i="18"/>
  <c r="Z92" i="4"/>
  <c r="Y91" i="4"/>
  <c r="Y10" i="4" s="1"/>
  <c r="Z95" i="4"/>
  <c r="Y94" i="4"/>
  <c r="Y11" i="4" s="1"/>
  <c r="X69" i="4"/>
  <c r="AF17" i="13"/>
  <c r="AF16" i="13" s="1"/>
  <c r="AF5" i="13" s="1"/>
  <c r="AF54" i="13" s="1"/>
  <c r="AF90" i="11"/>
  <c r="AB88" i="4"/>
  <c r="Q2" i="18"/>
  <c r="Q3" i="18" s="1"/>
  <c r="AA116" i="4"/>
  <c r="L10" i="18"/>
  <c r="AA113" i="4"/>
  <c r="AA110" i="4"/>
  <c r="Z79" i="4"/>
  <c r="Y76" i="4"/>
  <c r="Y77" i="4" s="1"/>
  <c r="AB52" i="11"/>
  <c r="AB38" i="1"/>
  <c r="X14" i="10"/>
  <c r="X15" i="10" s="1"/>
  <c r="AA81" i="4"/>
  <c r="Z98" i="4"/>
  <c r="Y97" i="4"/>
  <c r="Y13" i="4" s="1"/>
  <c r="Z101" i="4"/>
  <c r="Y100" i="4"/>
  <c r="Y14" i="4" s="1"/>
  <c r="AD55" i="11"/>
  <c r="AD9" i="1"/>
  <c r="AF54" i="11"/>
  <c r="AF58" i="11"/>
  <c r="Z104" i="4"/>
  <c r="Y103" i="4"/>
  <c r="Y18" i="4" s="1"/>
  <c r="AB20" i="1"/>
  <c r="X115" i="4"/>
  <c r="X35" i="4" s="1"/>
  <c r="X31" i="4" s="1"/>
  <c r="X112" i="4"/>
  <c r="X30" i="4" s="1"/>
  <c r="X106" i="4"/>
  <c r="X25" i="4" s="1"/>
  <c r="X109" i="4"/>
  <c r="X26" i="4" s="1"/>
  <c r="AH57" i="11"/>
  <c r="AH56" i="11" s="1"/>
  <c r="AG56" i="11"/>
  <c r="AC80" i="4"/>
  <c r="AB70" i="4"/>
  <c r="AB8" i="4" s="1"/>
  <c r="AA12" i="10"/>
  <c r="P9" i="18"/>
  <c r="AE10" i="1"/>
  <c r="AE51" i="11"/>
  <c r="AH6" i="1"/>
  <c r="AH8" i="1" s="1"/>
  <c r="AH7" i="1"/>
  <c r="AD73" i="4"/>
  <c r="V84" i="4"/>
  <c r="V56" i="4"/>
  <c r="AD54" i="4"/>
  <c r="S30" i="18" s="1"/>
  <c r="AD19" i="10"/>
  <c r="AD55" i="4"/>
  <c r="L7" i="16" s="1"/>
  <c r="L8" i="16" s="1"/>
  <c r="L15" i="16" s="1"/>
  <c r="Y89" i="4"/>
  <c r="Y74" i="4"/>
  <c r="Y71" i="4" s="1"/>
  <c r="Y23" i="4" s="1"/>
  <c r="AC12" i="1"/>
  <c r="AA107" i="4"/>
  <c r="R20" i="18"/>
  <c r="AG78" i="11"/>
  <c r="AF77" i="11"/>
  <c r="AF16" i="1" s="1"/>
  <c r="AD66" i="11"/>
  <c r="AD71" i="11"/>
  <c r="AG82" i="11"/>
  <c r="AF81" i="11"/>
  <c r="AF17" i="1" s="1"/>
  <c r="AE14" i="1"/>
  <c r="AH74" i="11"/>
  <c r="AH73" i="11" s="1"/>
  <c r="AG73" i="11"/>
  <c r="AE70" i="11"/>
  <c r="AC67" i="11"/>
  <c r="AC68" i="11"/>
  <c r="AF15" i="1"/>
  <c r="AH37" i="11"/>
  <c r="D36" i="10"/>
  <c r="R33" i="18" l="1"/>
  <c r="R19" i="18" s="1"/>
  <c r="X22" i="4"/>
  <c r="W8" i="10"/>
  <c r="X9" i="10"/>
  <c r="AH90" i="11"/>
  <c r="AD88" i="4"/>
  <c r="S2" i="18"/>
  <c r="S3" i="18" s="1"/>
  <c r="AH17" i="13"/>
  <c r="AH16" i="13" s="1"/>
  <c r="AH5" i="13" s="1"/>
  <c r="AH54" i="13" s="1"/>
  <c r="Z91" i="4"/>
  <c r="Z10" i="4" s="1"/>
  <c r="AA92" i="4"/>
  <c r="K10" i="18"/>
  <c r="V8" i="10"/>
  <c r="V85" i="4"/>
  <c r="AH54" i="11"/>
  <c r="AH58" i="11"/>
  <c r="Z89" i="4"/>
  <c r="Z74" i="4"/>
  <c r="Z71" i="4" s="1"/>
  <c r="Z23" i="4" s="1"/>
  <c r="AD12" i="1"/>
  <c r="AB116" i="4"/>
  <c r="Y69" i="4"/>
  <c r="AC34" i="13"/>
  <c r="AC46" i="13"/>
  <c r="AG54" i="11"/>
  <c r="AG58" i="11"/>
  <c r="AC52" i="11"/>
  <c r="AC38" i="1"/>
  <c r="AA101" i="4"/>
  <c r="Z100" i="4"/>
  <c r="Z14" i="4" s="1"/>
  <c r="AA79" i="4"/>
  <c r="Z76" i="4"/>
  <c r="Z77" i="4" s="1"/>
  <c r="AB107" i="4"/>
  <c r="X21" i="4"/>
  <c r="Y106" i="4"/>
  <c r="Y25" i="4" s="1"/>
  <c r="Y109" i="4"/>
  <c r="Y26" i="4" s="1"/>
  <c r="Y112" i="4"/>
  <c r="Y30" i="4" s="1"/>
  <c r="Y115" i="4"/>
  <c r="Y35" i="4" s="1"/>
  <c r="Y31" i="4" s="1"/>
  <c r="AE55" i="11"/>
  <c r="AE9" i="1"/>
  <c r="AA98" i="4"/>
  <c r="Z97" i="4"/>
  <c r="Z13" i="4" s="1"/>
  <c r="AB110" i="4"/>
  <c r="AB12" i="10"/>
  <c r="Q9" i="18"/>
  <c r="S28" i="18"/>
  <c r="C30" i="18"/>
  <c r="M5" i="18"/>
  <c r="AB22" i="1"/>
  <c r="AB40" i="1" s="1"/>
  <c r="AB39" i="1"/>
  <c r="X83" i="4"/>
  <c r="X84" i="4" s="1"/>
  <c r="X9" i="4"/>
  <c r="X58" i="4" s="1"/>
  <c r="X57" i="4" s="1"/>
  <c r="AC12" i="10"/>
  <c r="R9" i="18"/>
  <c r="AB81" i="4"/>
  <c r="AB113" i="4"/>
  <c r="AA104" i="4"/>
  <c r="Z103" i="4"/>
  <c r="Z18" i="4" s="1"/>
  <c r="R3" i="18"/>
  <c r="S32" i="18"/>
  <c r="S31" i="18"/>
  <c r="AA95" i="4"/>
  <c r="Z94" i="4"/>
  <c r="Z11" i="4" s="1"/>
  <c r="AD80" i="4"/>
  <c r="AD70" i="4" s="1"/>
  <c r="AD8" i="4" s="1"/>
  <c r="AC70" i="4"/>
  <c r="AC8" i="4" s="1"/>
  <c r="AF10" i="1"/>
  <c r="AF51" i="11"/>
  <c r="Y14" i="10"/>
  <c r="Y15" i="10" s="1"/>
  <c r="AH82" i="11"/>
  <c r="AH81" i="11" s="1"/>
  <c r="AH17" i="1" s="1"/>
  <c r="AG81" i="11"/>
  <c r="AG17" i="1" s="1"/>
  <c r="AF14" i="1"/>
  <c r="AH15" i="1"/>
  <c r="AD67" i="11"/>
  <c r="AD68" i="11"/>
  <c r="AE66" i="11"/>
  <c r="AE71" i="11"/>
  <c r="AG15" i="1"/>
  <c r="AF70" i="11"/>
  <c r="AH78" i="11"/>
  <c r="AH77" i="11" s="1"/>
  <c r="AH16" i="1" s="1"/>
  <c r="AG77" i="11"/>
  <c r="AG16" i="1" s="1"/>
  <c r="Q5" i="10"/>
  <c r="Q6" i="10"/>
  <c r="Q37" i="4"/>
  <c r="Q31" i="4"/>
  <c r="Q22" i="4"/>
  <c r="Q6" i="4"/>
  <c r="U14" i="1"/>
  <c r="U8" i="1"/>
  <c r="Y22" i="4" l="1"/>
  <c r="AB98" i="4"/>
  <c r="AA97" i="4"/>
  <c r="AA13" i="4" s="1"/>
  <c r="AC107" i="4"/>
  <c r="AG10" i="1"/>
  <c r="AG51" i="11"/>
  <c r="M10" i="18"/>
  <c r="X8" i="10"/>
  <c r="X85" i="4"/>
  <c r="AA89" i="4"/>
  <c r="AA74" i="4"/>
  <c r="AA71" i="4" s="1"/>
  <c r="AA23" i="4" s="1"/>
  <c r="AE12" i="1"/>
  <c r="AC21" i="1"/>
  <c r="AC18" i="1"/>
  <c r="AC13" i="1" s="1"/>
  <c r="AC20" i="1" s="1"/>
  <c r="Y6" i="10"/>
  <c r="X56" i="4"/>
  <c r="AC50" i="13"/>
  <c r="Y15" i="4" s="1"/>
  <c r="AD33" i="13"/>
  <c r="AB92" i="4"/>
  <c r="AA91" i="4"/>
  <c r="AA10" i="4" s="1"/>
  <c r="AC110" i="4"/>
  <c r="Y21" i="4"/>
  <c r="Y83" i="4"/>
  <c r="Y84" i="4" s="1"/>
  <c r="Y9" i="4"/>
  <c r="Y58" i="4" s="1"/>
  <c r="AB104" i="4"/>
  <c r="AA103" i="4"/>
  <c r="AA18" i="4" s="1"/>
  <c r="Z69" i="4"/>
  <c r="Y9" i="10"/>
  <c r="AG70" i="11"/>
  <c r="AG71" i="11" s="1"/>
  <c r="AF55" i="11"/>
  <c r="AF9" i="1"/>
  <c r="AB79" i="4"/>
  <c r="AA76" i="4"/>
  <c r="AA77" i="4" s="1"/>
  <c r="AC116" i="4"/>
  <c r="AH10" i="1"/>
  <c r="AH51" i="11"/>
  <c r="AG14" i="1"/>
  <c r="S33" i="18"/>
  <c r="S20" i="18"/>
  <c r="T20" i="18" s="1"/>
  <c r="AD52" i="11"/>
  <c r="AD38" i="1"/>
  <c r="AD12" i="10"/>
  <c r="S9" i="18"/>
  <c r="Z14" i="10"/>
  <c r="Z15" i="10" s="1"/>
  <c r="Z112" i="4"/>
  <c r="Z30" i="4" s="1"/>
  <c r="Z115" i="4"/>
  <c r="Z35" i="4" s="1"/>
  <c r="Z31" i="4" s="1"/>
  <c r="Z109" i="4"/>
  <c r="Z26" i="4" s="1"/>
  <c r="Z106" i="4"/>
  <c r="Z25" i="4" s="1"/>
  <c r="AB95" i="4"/>
  <c r="AA94" i="4"/>
  <c r="AA11" i="4" s="1"/>
  <c r="AC113" i="4"/>
  <c r="AB101" i="4"/>
  <c r="AA100" i="4"/>
  <c r="AA14" i="4" s="1"/>
  <c r="AC81" i="4"/>
  <c r="AH14" i="1"/>
  <c r="AF71" i="11"/>
  <c r="AF66" i="11"/>
  <c r="AH70" i="11"/>
  <c r="AE68" i="11"/>
  <c r="AE67" i="11"/>
  <c r="Q21" i="4"/>
  <c r="Q20" i="4" s="1"/>
  <c r="U90" i="11"/>
  <c r="U41" i="1"/>
  <c r="U13" i="1"/>
  <c r="U66" i="11" s="1"/>
  <c r="U70" i="11"/>
  <c r="U12" i="1"/>
  <c r="U38" i="1" s="1"/>
  <c r="U52" i="11" s="1"/>
  <c r="Q95" i="4"/>
  <c r="Q101" i="4"/>
  <c r="Q104" i="4"/>
  <c r="Q98" i="4"/>
  <c r="Q10" i="10"/>
  <c r="Q32" i="10" s="1"/>
  <c r="Q5" i="4"/>
  <c r="Q61" i="4"/>
  <c r="Q60" i="4"/>
  <c r="Q59" i="4"/>
  <c r="AA69" i="4" l="1"/>
  <c r="AA83" i="4" s="1"/>
  <c r="Z9" i="10"/>
  <c r="C23" i="18"/>
  <c r="S19" i="18"/>
  <c r="T19" i="18" s="1"/>
  <c r="AD34" i="13"/>
  <c r="AD46" i="13"/>
  <c r="AG55" i="11"/>
  <c r="AG9" i="1"/>
  <c r="Z83" i="4"/>
  <c r="Z84" i="4" s="1"/>
  <c r="Z9" i="4"/>
  <c r="Z58" i="4" s="1"/>
  <c r="Y56" i="4"/>
  <c r="Y57" i="4"/>
  <c r="Y12" i="4"/>
  <c r="AH55" i="11"/>
  <c r="AH9" i="1"/>
  <c r="AB91" i="4"/>
  <c r="AB10" i="4" s="1"/>
  <c r="AC92" i="4"/>
  <c r="AD81" i="4"/>
  <c r="AC104" i="4"/>
  <c r="AB103" i="4"/>
  <c r="AB18" i="4" s="1"/>
  <c r="AD107" i="4"/>
  <c r="AC95" i="4"/>
  <c r="AB94" i="4"/>
  <c r="AB11" i="4" s="1"/>
  <c r="N5" i="18"/>
  <c r="AC22" i="1"/>
  <c r="AC40" i="1" s="1"/>
  <c r="AC39" i="1"/>
  <c r="Z22" i="4"/>
  <c r="Z21" i="4" s="1"/>
  <c r="AD116" i="4"/>
  <c r="AC98" i="4"/>
  <c r="AB97" i="4"/>
  <c r="AB13" i="4" s="1"/>
  <c r="N10" i="18"/>
  <c r="Y8" i="10"/>
  <c r="Y85" i="4"/>
  <c r="AE52" i="11"/>
  <c r="AE38" i="1"/>
  <c r="AC101" i="4"/>
  <c r="AB100" i="4"/>
  <c r="AB14" i="4" s="1"/>
  <c r="AA9" i="4"/>
  <c r="AC79" i="4"/>
  <c r="AB76" i="4"/>
  <c r="AB77" i="4" s="1"/>
  <c r="AA109" i="4"/>
  <c r="AA26" i="4" s="1"/>
  <c r="AA112" i="4"/>
  <c r="AA30" i="4" s="1"/>
  <c r="AA115" i="4"/>
  <c r="AA35" i="4" s="1"/>
  <c r="AA31" i="4" s="1"/>
  <c r="AA106" i="4"/>
  <c r="AA25" i="4" s="1"/>
  <c r="AA14" i="10"/>
  <c r="AA15" i="10" s="1"/>
  <c r="AG66" i="11"/>
  <c r="AG67" i="11" s="1"/>
  <c r="AB89" i="4"/>
  <c r="AB74" i="4"/>
  <c r="AB71" i="4" s="1"/>
  <c r="AB23" i="4" s="1"/>
  <c r="AF12" i="1"/>
  <c r="AD113" i="4"/>
  <c r="AD110" i="4"/>
  <c r="AH71" i="11"/>
  <c r="AH66" i="11"/>
  <c r="AF68" i="11"/>
  <c r="AF67" i="11"/>
  <c r="U68" i="11"/>
  <c r="U20" i="1"/>
  <c r="Q47" i="4"/>
  <c r="AA9" i="10" l="1"/>
  <c r="AG68" i="11"/>
  <c r="AB69" i="4"/>
  <c r="AA22" i="4"/>
  <c r="AA58" i="4"/>
  <c r="AA84" i="4"/>
  <c r="P10" i="18" s="1"/>
  <c r="AD95" i="4"/>
  <c r="AD94" i="4" s="1"/>
  <c r="AD11" i="4" s="1"/>
  <c r="AC94" i="4"/>
  <c r="AC11" i="4" s="1"/>
  <c r="AD79" i="4"/>
  <c r="AC76" i="4"/>
  <c r="AC77" i="4" s="1"/>
  <c r="AD98" i="4"/>
  <c r="AD97" i="4" s="1"/>
  <c r="AD13" i="4" s="1"/>
  <c r="AC97" i="4"/>
  <c r="AC13" i="4" s="1"/>
  <c r="AD104" i="4"/>
  <c r="AD103" i="4" s="1"/>
  <c r="AD18" i="4" s="1"/>
  <c r="AC103" i="4"/>
  <c r="AC18" i="4" s="1"/>
  <c r="O10" i="18"/>
  <c r="Z8" i="10"/>
  <c r="Z85" i="4"/>
  <c r="AC89" i="4"/>
  <c r="AC74" i="4"/>
  <c r="AC71" i="4" s="1"/>
  <c r="AC23" i="4" s="1"/>
  <c r="AG12" i="1"/>
  <c r="AD101" i="4"/>
  <c r="AD100" i="4" s="1"/>
  <c r="AD14" i="4" s="1"/>
  <c r="AC100" i="4"/>
  <c r="AC14" i="4" s="1"/>
  <c r="AB14" i="10"/>
  <c r="AB15" i="10" s="1"/>
  <c r="AD92" i="4"/>
  <c r="AD91" i="4" s="1"/>
  <c r="AD10" i="4" s="1"/>
  <c r="AC91" i="4"/>
  <c r="AC10" i="4" s="1"/>
  <c r="AB83" i="4"/>
  <c r="AB84" i="4" s="1"/>
  <c r="AB9" i="4"/>
  <c r="AF38" i="1"/>
  <c r="AF52" i="11"/>
  <c r="AA21" i="4"/>
  <c r="AD21" i="1"/>
  <c r="AD18" i="1"/>
  <c r="AD13" i="1" s="1"/>
  <c r="AD20" i="1" s="1"/>
  <c r="Z6" i="10"/>
  <c r="AB109" i="4"/>
  <c r="AB26" i="4" s="1"/>
  <c r="AB112" i="4"/>
  <c r="AB30" i="4" s="1"/>
  <c r="AB115" i="4"/>
  <c r="AB35" i="4" s="1"/>
  <c r="AB31" i="4" s="1"/>
  <c r="AB106" i="4"/>
  <c r="AB25" i="4" s="1"/>
  <c r="AD89" i="4"/>
  <c r="AD115" i="4" s="1"/>
  <c r="AD35" i="4" s="1"/>
  <c r="AD31" i="4" s="1"/>
  <c r="AD74" i="4"/>
  <c r="AD71" i="4" s="1"/>
  <c r="AD23" i="4" s="1"/>
  <c r="AH12" i="1"/>
  <c r="AD50" i="13"/>
  <c r="Z15" i="4" s="1"/>
  <c r="AE33" i="13"/>
  <c r="AE46" i="13" s="1"/>
  <c r="AH68" i="11"/>
  <c r="AH67" i="11"/>
  <c r="U22" i="1"/>
  <c r="U40" i="1" s="1"/>
  <c r="U39" i="1"/>
  <c r="U28" i="1"/>
  <c r="U91" i="11" s="1"/>
  <c r="O24" i="10"/>
  <c r="N24" i="10"/>
  <c r="M24" i="10"/>
  <c r="L24" i="10"/>
  <c r="J24" i="10"/>
  <c r="I24" i="10"/>
  <c r="H24" i="10"/>
  <c r="G24" i="10"/>
  <c r="F24" i="10"/>
  <c r="E24" i="10"/>
  <c r="D24" i="10"/>
  <c r="AD106" i="4" l="1"/>
  <c r="AD25" i="4" s="1"/>
  <c r="AB9" i="10"/>
  <c r="AA8" i="10"/>
  <c r="AB58" i="4"/>
  <c r="AA85" i="4"/>
  <c r="AE34" i="13"/>
  <c r="AE50" i="13" s="1"/>
  <c r="AA15" i="4" s="1"/>
  <c r="AC112" i="4"/>
  <c r="AC30" i="4" s="1"/>
  <c r="AC109" i="4"/>
  <c r="AC26" i="4" s="1"/>
  <c r="AC115" i="4"/>
  <c r="AC35" i="4" s="1"/>
  <c r="AC31" i="4" s="1"/>
  <c r="AC106" i="4"/>
  <c r="AC25" i="4" s="1"/>
  <c r="AC9" i="10" s="1"/>
  <c r="AD14" i="10"/>
  <c r="AD15" i="10" s="1"/>
  <c r="AD112" i="4"/>
  <c r="AD30" i="4" s="1"/>
  <c r="AC14" i="10"/>
  <c r="AC15" i="10" s="1"/>
  <c r="AC69" i="4"/>
  <c r="AD69" i="4"/>
  <c r="AD76" i="4"/>
  <c r="AD77" i="4" s="1"/>
  <c r="Z56" i="4"/>
  <c r="Z57" i="4"/>
  <c r="Z12" i="4"/>
  <c r="AB85" i="4"/>
  <c r="Q10" i="18"/>
  <c r="AB8" i="10"/>
  <c r="AD109" i="4"/>
  <c r="AD26" i="4" s="1"/>
  <c r="AB22" i="4"/>
  <c r="AB21" i="4" s="1"/>
  <c r="AH38" i="1"/>
  <c r="AH52" i="11"/>
  <c r="O5" i="18"/>
  <c r="AD22" i="1"/>
  <c r="AD40" i="1" s="1"/>
  <c r="AD39" i="1"/>
  <c r="AA6" i="10"/>
  <c r="AE21" i="1"/>
  <c r="AE18" i="1"/>
  <c r="AE13" i="1" s="1"/>
  <c r="AE20" i="1" s="1"/>
  <c r="AG38" i="1"/>
  <c r="AG52" i="11"/>
  <c r="D6" i="10"/>
  <c r="E6" i="10"/>
  <c r="E10" i="10" s="1"/>
  <c r="E32" i="10" s="1"/>
  <c r="E34" i="10" s="1"/>
  <c r="G6" i="10"/>
  <c r="H6" i="10"/>
  <c r="I6" i="10"/>
  <c r="J6" i="10"/>
  <c r="L6" i="10"/>
  <c r="M6" i="10"/>
  <c r="N6" i="10"/>
  <c r="O6" i="10"/>
  <c r="E13" i="1"/>
  <c r="E66" i="11" s="1"/>
  <c r="D13" i="1"/>
  <c r="D66" i="11" s="1"/>
  <c r="D68" i="11" s="1"/>
  <c r="E12" i="1"/>
  <c r="E38" i="1" s="1"/>
  <c r="E52" i="11" s="1"/>
  <c r="D12" i="1"/>
  <c r="D38" i="1" s="1"/>
  <c r="D52" i="11" s="1"/>
  <c r="O37" i="4"/>
  <c r="N37" i="4"/>
  <c r="M37" i="4"/>
  <c r="L37" i="4"/>
  <c r="J37" i="4"/>
  <c r="I37" i="4"/>
  <c r="H37" i="4"/>
  <c r="G37" i="4"/>
  <c r="F37" i="4"/>
  <c r="E37" i="4"/>
  <c r="D37" i="4"/>
  <c r="P45" i="4"/>
  <c r="K45" i="4"/>
  <c r="P39" i="4"/>
  <c r="K39" i="4"/>
  <c r="K44" i="4"/>
  <c r="K43" i="4"/>
  <c r="K42" i="4"/>
  <c r="K41" i="4"/>
  <c r="K40" i="4"/>
  <c r="P44" i="4"/>
  <c r="P43" i="4"/>
  <c r="P42" i="4"/>
  <c r="P41" i="4"/>
  <c r="P40" i="4"/>
  <c r="P38" i="4"/>
  <c r="K38" i="4"/>
  <c r="AD22" i="4" l="1"/>
  <c r="AD21" i="4" s="1"/>
  <c r="AF33" i="13"/>
  <c r="AF34" i="13" s="1"/>
  <c r="P5" i="18"/>
  <c r="AE39" i="1"/>
  <c r="AE22" i="1"/>
  <c r="AE40" i="1" s="1"/>
  <c r="AD9" i="4"/>
  <c r="AD58" i="4" s="1"/>
  <c r="AD83" i="4"/>
  <c r="AC83" i="4"/>
  <c r="AC84" i="4" s="1"/>
  <c r="AC9" i="4"/>
  <c r="AC58" i="4" s="1"/>
  <c r="AC22" i="4"/>
  <c r="AC21" i="4" s="1"/>
  <c r="AA56" i="4"/>
  <c r="AA57" i="4"/>
  <c r="AA12" i="4"/>
  <c r="AD9" i="10"/>
  <c r="E68" i="11"/>
  <c r="J67" i="11"/>
  <c r="E67" i="11"/>
  <c r="F33" i="10"/>
  <c r="E36" i="10"/>
  <c r="K24" i="10"/>
  <c r="E20" i="1"/>
  <c r="E39" i="1" s="1"/>
  <c r="P24" i="10"/>
  <c r="K37" i="4"/>
  <c r="P37" i="4"/>
  <c r="AF46" i="13" l="1"/>
  <c r="AF21" i="1" s="1"/>
  <c r="AD84" i="4"/>
  <c r="AD85" i="4" s="1"/>
  <c r="AF50" i="13"/>
  <c r="AB15" i="4" s="1"/>
  <c r="AG33" i="13"/>
  <c r="AC85" i="4"/>
  <c r="R10" i="18"/>
  <c r="AC8" i="10"/>
  <c r="P33" i="4"/>
  <c r="O31" i="4"/>
  <c r="K33" i="4"/>
  <c r="N31" i="4"/>
  <c r="M31" i="4"/>
  <c r="L31" i="4"/>
  <c r="J31" i="4"/>
  <c r="I31" i="4"/>
  <c r="H31" i="4"/>
  <c r="G31" i="4"/>
  <c r="F31" i="4"/>
  <c r="E31" i="4"/>
  <c r="D31" i="4"/>
  <c r="K32" i="4"/>
  <c r="P32" i="4"/>
  <c r="K34" i="4"/>
  <c r="P34" i="4"/>
  <c r="K35" i="4"/>
  <c r="K115" i="4" s="1"/>
  <c r="P35" i="4"/>
  <c r="P115" i="4" s="1"/>
  <c r="K29" i="4"/>
  <c r="P29" i="4"/>
  <c r="D22" i="4"/>
  <c r="O22" i="4"/>
  <c r="N22" i="4"/>
  <c r="M22" i="4"/>
  <c r="L22" i="4"/>
  <c r="J22" i="4"/>
  <c r="I22" i="4"/>
  <c r="H22" i="4"/>
  <c r="G22" i="4"/>
  <c r="F22" i="4"/>
  <c r="E22" i="4"/>
  <c r="P30" i="4"/>
  <c r="P112" i="4" s="1"/>
  <c r="P27" i="4"/>
  <c r="P24" i="4"/>
  <c r="P28" i="4"/>
  <c r="P26" i="4"/>
  <c r="P109" i="4" s="1"/>
  <c r="P25" i="4"/>
  <c r="P106" i="4" s="1"/>
  <c r="P23" i="4"/>
  <c r="P71" i="4" s="1"/>
  <c r="K30" i="4"/>
  <c r="K112" i="4" s="1"/>
  <c r="K28" i="4"/>
  <c r="K27" i="4"/>
  <c r="K26" i="4"/>
  <c r="K109" i="4" s="1"/>
  <c r="K25" i="4"/>
  <c r="K106" i="4" s="1"/>
  <c r="K24" i="4"/>
  <c r="K23" i="4"/>
  <c r="K71" i="4" s="1"/>
  <c r="K13" i="4"/>
  <c r="K97" i="4" s="1"/>
  <c r="P13" i="4"/>
  <c r="P97" i="4" s="1"/>
  <c r="K14" i="4"/>
  <c r="K100" i="4" s="1"/>
  <c r="P14" i="4"/>
  <c r="P100" i="4" s="1"/>
  <c r="K15" i="4"/>
  <c r="P15" i="4"/>
  <c r="K16" i="4"/>
  <c r="P16" i="4"/>
  <c r="K17" i="4"/>
  <c r="P17" i="4"/>
  <c r="K18" i="4"/>
  <c r="K103" i="4" s="1"/>
  <c r="P18" i="4"/>
  <c r="P103" i="4" s="1"/>
  <c r="N12" i="4"/>
  <c r="M12" i="4"/>
  <c r="L12" i="4"/>
  <c r="D12" i="4"/>
  <c r="I12" i="4"/>
  <c r="H12" i="4"/>
  <c r="G12" i="4"/>
  <c r="F12" i="4"/>
  <c r="E12" i="4"/>
  <c r="P11" i="4"/>
  <c r="P94" i="4" s="1"/>
  <c r="P10" i="4"/>
  <c r="P91" i="4" s="1"/>
  <c r="P9" i="4"/>
  <c r="P69" i="4" s="1"/>
  <c r="P8" i="4"/>
  <c r="P7" i="4"/>
  <c r="N6" i="4"/>
  <c r="K11" i="4"/>
  <c r="K94" i="4" s="1"/>
  <c r="K10" i="4"/>
  <c r="K91" i="4" s="1"/>
  <c r="K9" i="4"/>
  <c r="K69" i="4" s="1"/>
  <c r="K8" i="4"/>
  <c r="K7" i="4"/>
  <c r="M6" i="4"/>
  <c r="L6" i="4"/>
  <c r="J6" i="4"/>
  <c r="I6" i="4"/>
  <c r="H6" i="4"/>
  <c r="G6" i="4"/>
  <c r="F6" i="4"/>
  <c r="E6" i="4"/>
  <c r="D6" i="4"/>
  <c r="O9" i="1"/>
  <c r="O51" i="11" s="1"/>
  <c r="O55" i="11" s="1"/>
  <c r="AD8" i="10" l="1"/>
  <c r="S10" i="18"/>
  <c r="AB6" i="10"/>
  <c r="AF18" i="1"/>
  <c r="AF13" i="1" s="1"/>
  <c r="AF20" i="1" s="1"/>
  <c r="Q5" i="18" s="1"/>
  <c r="AG34" i="13"/>
  <c r="AG46" i="13"/>
  <c r="AB56" i="4"/>
  <c r="AB57" i="4"/>
  <c r="AB12" i="4"/>
  <c r="K110" i="4"/>
  <c r="K107" i="4"/>
  <c r="K74" i="4"/>
  <c r="K113" i="4"/>
  <c r="K116" i="4"/>
  <c r="P58" i="4"/>
  <c r="P57" i="4" s="1"/>
  <c r="P70" i="4"/>
  <c r="P83" i="4" s="1"/>
  <c r="E60" i="4"/>
  <c r="E61" i="4"/>
  <c r="E59" i="4"/>
  <c r="K55" i="4"/>
  <c r="F61" i="4"/>
  <c r="F59" i="4"/>
  <c r="F60" i="4"/>
  <c r="G61" i="4"/>
  <c r="G59" i="4"/>
  <c r="G60" i="4"/>
  <c r="L60" i="4"/>
  <c r="L61" i="4"/>
  <c r="L59" i="4"/>
  <c r="M60" i="4"/>
  <c r="M61" i="4"/>
  <c r="M59" i="4"/>
  <c r="P54" i="4"/>
  <c r="P52" i="4"/>
  <c r="P65" i="4" s="1"/>
  <c r="P50" i="4"/>
  <c r="P53" i="4"/>
  <c r="P66" i="4" s="1"/>
  <c r="P51" i="4"/>
  <c r="K58" i="4"/>
  <c r="K57" i="4" s="1"/>
  <c r="K70" i="4"/>
  <c r="K83" i="4" s="1"/>
  <c r="P55" i="4"/>
  <c r="H61" i="4"/>
  <c r="H59" i="4"/>
  <c r="H60" i="4"/>
  <c r="I61" i="4"/>
  <c r="I59" i="4"/>
  <c r="I60" i="4"/>
  <c r="K54" i="4"/>
  <c r="K52" i="4"/>
  <c r="K50" i="4"/>
  <c r="K51" i="4"/>
  <c r="K53" i="4"/>
  <c r="J60" i="4"/>
  <c r="J61" i="4"/>
  <c r="J59" i="4"/>
  <c r="N61" i="4"/>
  <c r="N59" i="4"/>
  <c r="N60" i="4"/>
  <c r="K6" i="4"/>
  <c r="I21" i="4"/>
  <c r="I20" i="4" s="1"/>
  <c r="H21" i="4"/>
  <c r="H20" i="4" s="1"/>
  <c r="G21" i="4"/>
  <c r="G20" i="4" s="1"/>
  <c r="F21" i="4"/>
  <c r="F20" i="4" s="1"/>
  <c r="M21" i="4"/>
  <c r="M20" i="4" s="1"/>
  <c r="N21" i="4"/>
  <c r="N20" i="4" s="1"/>
  <c r="L21" i="4"/>
  <c r="L20" i="4" s="1"/>
  <c r="J21" i="4"/>
  <c r="J20" i="4" s="1"/>
  <c r="E21" i="4"/>
  <c r="E20" i="4" s="1"/>
  <c r="D21" i="4"/>
  <c r="D20" i="4" s="1"/>
  <c r="E5" i="4"/>
  <c r="O21" i="4"/>
  <c r="O20" i="4" s="1"/>
  <c r="P31" i="4"/>
  <c r="I5" i="4"/>
  <c r="K31" i="4"/>
  <c r="L5" i="4"/>
  <c r="N5" i="4"/>
  <c r="D5" i="4"/>
  <c r="M5" i="4"/>
  <c r="G5" i="4"/>
  <c r="H5" i="4"/>
  <c r="F5" i="4"/>
  <c r="K22" i="4"/>
  <c r="P22" i="4"/>
  <c r="O12" i="4"/>
  <c r="P12" i="4"/>
  <c r="K12" i="4"/>
  <c r="J12" i="4"/>
  <c r="J5" i="4" s="1"/>
  <c r="O6" i="4"/>
  <c r="O31" i="1"/>
  <c r="O30" i="1"/>
  <c r="T31" i="1"/>
  <c r="T30" i="1"/>
  <c r="S29" i="1"/>
  <c r="S94" i="11" s="1"/>
  <c r="R29" i="1"/>
  <c r="R94" i="11" s="1"/>
  <c r="Q29" i="1"/>
  <c r="Q94" i="11" s="1"/>
  <c r="P29" i="1"/>
  <c r="P94" i="11" s="1"/>
  <c r="N29" i="1"/>
  <c r="N94" i="11" s="1"/>
  <c r="M29" i="1"/>
  <c r="M94" i="11" s="1"/>
  <c r="L29" i="1"/>
  <c r="L94" i="11" s="1"/>
  <c r="K29" i="1"/>
  <c r="K94" i="11" s="1"/>
  <c r="E29" i="1"/>
  <c r="E94" i="11" s="1"/>
  <c r="D29" i="1"/>
  <c r="D94" i="11" s="1"/>
  <c r="E23" i="1"/>
  <c r="D23" i="1"/>
  <c r="E25" i="1"/>
  <c r="E26" i="1" s="1"/>
  <c r="D25" i="1"/>
  <c r="D26" i="1" s="1"/>
  <c r="E21" i="1"/>
  <c r="D21" i="1"/>
  <c r="D11" i="1"/>
  <c r="D60" i="11" s="1"/>
  <c r="E11" i="1"/>
  <c r="E60" i="11" s="1"/>
  <c r="N27" i="1"/>
  <c r="N24" i="1"/>
  <c r="K23" i="1"/>
  <c r="K26" i="1"/>
  <c r="T6" i="1"/>
  <c r="T44" i="1" s="1"/>
  <c r="O6" i="1"/>
  <c r="S27" i="1"/>
  <c r="S24" i="1"/>
  <c r="P23" i="1"/>
  <c r="P25" i="1"/>
  <c r="P26" i="1" s="1"/>
  <c r="L23" i="1"/>
  <c r="L26" i="1"/>
  <c r="Q23" i="1"/>
  <c r="Q25" i="1"/>
  <c r="Q26" i="1" s="1"/>
  <c r="M23" i="1"/>
  <c r="R23" i="1"/>
  <c r="M26" i="1"/>
  <c r="R25" i="1"/>
  <c r="R26" i="1" s="1"/>
  <c r="O23" i="1"/>
  <c r="O25" i="1"/>
  <c r="O26" i="1" s="1"/>
  <c r="T23" i="1"/>
  <c r="T25" i="1"/>
  <c r="S21" i="1"/>
  <c r="R21" i="1"/>
  <c r="Q21" i="1"/>
  <c r="P21" i="1"/>
  <c r="N21" i="1"/>
  <c r="M21" i="1"/>
  <c r="L21" i="1"/>
  <c r="K21" i="1"/>
  <c r="T19" i="1"/>
  <c r="T87" i="11" s="1"/>
  <c r="T18" i="1"/>
  <c r="T85" i="11" s="1"/>
  <c r="O19" i="1"/>
  <c r="O87" i="11" s="1"/>
  <c r="O18" i="1"/>
  <c r="O85" i="11" s="1"/>
  <c r="T17" i="1"/>
  <c r="T81" i="11" s="1"/>
  <c r="T82" i="11" s="1"/>
  <c r="T16" i="1"/>
  <c r="T77" i="11" s="1"/>
  <c r="T78" i="11" s="1"/>
  <c r="T15" i="1"/>
  <c r="T73" i="11" s="1"/>
  <c r="T74" i="11" s="1"/>
  <c r="O17" i="1"/>
  <c r="O81" i="11" s="1"/>
  <c r="O16" i="1"/>
  <c r="O77" i="11" s="1"/>
  <c r="O78" i="11" s="1"/>
  <c r="O15" i="1"/>
  <c r="O73" i="11" s="1"/>
  <c r="O74" i="11" s="1"/>
  <c r="S14" i="1"/>
  <c r="S70" i="11" s="1"/>
  <c r="R14" i="1"/>
  <c r="R70" i="11" s="1"/>
  <c r="Q14" i="1"/>
  <c r="Q70" i="11" s="1"/>
  <c r="P14" i="1"/>
  <c r="P70" i="11" s="1"/>
  <c r="N14" i="1"/>
  <c r="N70" i="11" s="1"/>
  <c r="N71" i="11" s="1"/>
  <c r="M14" i="1"/>
  <c r="M70" i="11" s="1"/>
  <c r="M71" i="11" s="1"/>
  <c r="L14" i="1"/>
  <c r="L70" i="11" s="1"/>
  <c r="L71" i="11" s="1"/>
  <c r="K14" i="1"/>
  <c r="K70" i="11" s="1"/>
  <c r="K71" i="11" s="1"/>
  <c r="D20" i="1"/>
  <c r="D39" i="1" s="1"/>
  <c r="N10" i="1"/>
  <c r="N54" i="11" s="1"/>
  <c r="K11" i="1"/>
  <c r="K60" i="11" s="1"/>
  <c r="K61" i="11" s="1"/>
  <c r="L11" i="1"/>
  <c r="L60" i="11" s="1"/>
  <c r="L61" i="11" s="1"/>
  <c r="M11" i="1"/>
  <c r="M60" i="11" s="1"/>
  <c r="M61" i="11" s="1"/>
  <c r="S10" i="1"/>
  <c r="S54" i="11" s="1"/>
  <c r="P11" i="1"/>
  <c r="P60" i="11" s="1"/>
  <c r="P61" i="11" s="1"/>
  <c r="Q11" i="1"/>
  <c r="Q60" i="11" s="1"/>
  <c r="Q61" i="11" s="1"/>
  <c r="R11" i="1"/>
  <c r="R60" i="11" s="1"/>
  <c r="R61" i="11" s="1"/>
  <c r="T9" i="1"/>
  <c r="T51" i="11" s="1"/>
  <c r="T55" i="11" s="1"/>
  <c r="O11" i="1"/>
  <c r="O60" i="11" s="1"/>
  <c r="O61" i="11" s="1"/>
  <c r="S8" i="1"/>
  <c r="S90" i="11" s="1"/>
  <c r="R8" i="1"/>
  <c r="R90" i="11" s="1"/>
  <c r="Q8" i="1"/>
  <c r="Q90" i="11" s="1"/>
  <c r="P8" i="1"/>
  <c r="P90" i="11" s="1"/>
  <c r="N8" i="1"/>
  <c r="N90" i="11" s="1"/>
  <c r="M8" i="1"/>
  <c r="M90" i="11" s="1"/>
  <c r="L8" i="1"/>
  <c r="L90" i="11" s="1"/>
  <c r="K8" i="1"/>
  <c r="K90" i="11" s="1"/>
  <c r="T5" i="1"/>
  <c r="T45" i="1" s="1"/>
  <c r="O5" i="1"/>
  <c r="O45" i="1" s="1"/>
  <c r="F73" i="4"/>
  <c r="F80" i="4" s="1"/>
  <c r="AF22" i="1" l="1"/>
  <c r="AF40" i="1" s="1"/>
  <c r="AF39" i="1"/>
  <c r="AG21" i="1"/>
  <c r="AG18" i="1"/>
  <c r="AG13" i="1" s="1"/>
  <c r="AG20" i="1" s="1"/>
  <c r="AC6" i="10"/>
  <c r="AG50" i="13"/>
  <c r="AC15" i="4" s="1"/>
  <c r="AH33" i="13"/>
  <c r="K84" i="4"/>
  <c r="K56" i="4"/>
  <c r="P84" i="4"/>
  <c r="P56" i="4"/>
  <c r="S56" i="11"/>
  <c r="S57" i="11" s="1"/>
  <c r="S55" i="11"/>
  <c r="O44" i="1"/>
  <c r="P71" i="11"/>
  <c r="U71" i="11"/>
  <c r="T75" i="11"/>
  <c r="Q71" i="11"/>
  <c r="N55" i="11"/>
  <c r="N56" i="11"/>
  <c r="N57" i="11" s="1"/>
  <c r="R71" i="11"/>
  <c r="S71" i="11"/>
  <c r="K73" i="4"/>
  <c r="K80" i="4" s="1"/>
  <c r="O6" i="11"/>
  <c r="O7" i="11" s="1"/>
  <c r="P73" i="4"/>
  <c r="P80" i="4" s="1"/>
  <c r="T6" i="11"/>
  <c r="J101" i="4"/>
  <c r="J98" i="4"/>
  <c r="J95" i="4"/>
  <c r="J104" i="4"/>
  <c r="J92" i="4"/>
  <c r="N104" i="4"/>
  <c r="N92" i="4"/>
  <c r="N95" i="4"/>
  <c r="N101" i="4"/>
  <c r="N98" i="4"/>
  <c r="O104" i="4"/>
  <c r="O95" i="4"/>
  <c r="O92" i="4"/>
  <c r="O101" i="4"/>
  <c r="O98" i="4"/>
  <c r="G104" i="4"/>
  <c r="G95" i="4"/>
  <c r="G101" i="4"/>
  <c r="G92" i="4"/>
  <c r="G98" i="4"/>
  <c r="K79" i="4"/>
  <c r="K81" i="4"/>
  <c r="L101" i="4"/>
  <c r="L92" i="4"/>
  <c r="L98" i="4"/>
  <c r="L104" i="4"/>
  <c r="L95" i="4"/>
  <c r="M98" i="4"/>
  <c r="M92" i="4"/>
  <c r="M104" i="4"/>
  <c r="M95" i="4"/>
  <c r="M101" i="4"/>
  <c r="F110" i="4"/>
  <c r="F116" i="4"/>
  <c r="F74" i="4"/>
  <c r="F107" i="4"/>
  <c r="F113" i="4"/>
  <c r="H95" i="4"/>
  <c r="H101" i="4"/>
  <c r="H92" i="4"/>
  <c r="H104" i="4"/>
  <c r="H98" i="4"/>
  <c r="I101" i="4"/>
  <c r="I104" i="4"/>
  <c r="I95" i="4"/>
  <c r="I98" i="4"/>
  <c r="I92" i="4"/>
  <c r="P116" i="4"/>
  <c r="P113" i="4"/>
  <c r="P110" i="4"/>
  <c r="P107" i="4"/>
  <c r="P74" i="4"/>
  <c r="K59" i="4"/>
  <c r="K60" i="4"/>
  <c r="K61" i="4"/>
  <c r="O60" i="4"/>
  <c r="O61" i="4"/>
  <c r="O59" i="4"/>
  <c r="K5" i="4"/>
  <c r="H47" i="4"/>
  <c r="O21" i="1"/>
  <c r="K6" i="10"/>
  <c r="T21" i="1"/>
  <c r="P6" i="10"/>
  <c r="F6" i="10"/>
  <c r="F10" i="10" s="1"/>
  <c r="F32" i="10" s="1"/>
  <c r="F34" i="10" s="1"/>
  <c r="N47" i="4"/>
  <c r="I47" i="4"/>
  <c r="G47" i="4"/>
  <c r="M47" i="4"/>
  <c r="F47" i="4"/>
  <c r="E47" i="4"/>
  <c r="J47" i="4"/>
  <c r="L47" i="4"/>
  <c r="K21" i="4"/>
  <c r="K20" i="4" s="1"/>
  <c r="N13" i="1"/>
  <c r="N66" i="11" s="1"/>
  <c r="R13" i="1"/>
  <c r="R66" i="11" s="1"/>
  <c r="W67" i="11" s="1"/>
  <c r="S13" i="1"/>
  <c r="S66" i="11" s="1"/>
  <c r="X67" i="11" s="1"/>
  <c r="M13" i="1"/>
  <c r="M66" i="11" s="1"/>
  <c r="Q13" i="1"/>
  <c r="Q66" i="11" s="1"/>
  <c r="V67" i="11" s="1"/>
  <c r="K13" i="1"/>
  <c r="K66" i="11" s="1"/>
  <c r="P13" i="1"/>
  <c r="P66" i="11" s="1"/>
  <c r="L13" i="1"/>
  <c r="L66" i="11" s="1"/>
  <c r="P12" i="1"/>
  <c r="P38" i="1" s="1"/>
  <c r="P52" i="11" s="1"/>
  <c r="Q12" i="1"/>
  <c r="Q38" i="1" s="1"/>
  <c r="Q52" i="11" s="1"/>
  <c r="T11" i="1"/>
  <c r="T60" i="11" s="1"/>
  <c r="T61" i="11" s="1"/>
  <c r="M12" i="1"/>
  <c r="M38" i="1" s="1"/>
  <c r="M52" i="11" s="1"/>
  <c r="N12" i="1"/>
  <c r="N38" i="1" s="1"/>
  <c r="N52" i="11" s="1"/>
  <c r="S12" i="1"/>
  <c r="S38" i="1" s="1"/>
  <c r="S52" i="11" s="1"/>
  <c r="R12" i="1"/>
  <c r="R38" i="1" s="1"/>
  <c r="R52" i="11" s="1"/>
  <c r="K12" i="1"/>
  <c r="K38" i="1" s="1"/>
  <c r="K52" i="11" s="1"/>
  <c r="L12" i="1"/>
  <c r="L38" i="1" s="1"/>
  <c r="L52" i="11" s="1"/>
  <c r="P21" i="4"/>
  <c r="P20" i="4" s="1"/>
  <c r="P6" i="4"/>
  <c r="O5" i="4"/>
  <c r="O47" i="4" s="1"/>
  <c r="O29" i="1"/>
  <c r="O94" i="11" s="1"/>
  <c r="T29" i="1"/>
  <c r="T94" i="11" s="1"/>
  <c r="N26" i="1"/>
  <c r="T8" i="1"/>
  <c r="T90" i="11" s="1"/>
  <c r="N23" i="1"/>
  <c r="N25" i="1"/>
  <c r="D28" i="1"/>
  <c r="D91" i="11" s="1"/>
  <c r="D22" i="1"/>
  <c r="D40" i="1" s="1"/>
  <c r="E28" i="1"/>
  <c r="E91" i="11" s="1"/>
  <c r="E22" i="1"/>
  <c r="E40" i="1" s="1"/>
  <c r="S25" i="1"/>
  <c r="S23" i="1"/>
  <c r="O8" i="1"/>
  <c r="O90" i="11" s="1"/>
  <c r="T26" i="1"/>
  <c r="S26" i="1" s="1"/>
  <c r="T14" i="1"/>
  <c r="T70" i="11" s="1"/>
  <c r="Y71" i="11" s="1"/>
  <c r="O14" i="1"/>
  <c r="O70" i="11" s="1"/>
  <c r="O71" i="11" s="1"/>
  <c r="N11" i="1"/>
  <c r="N60" i="11" s="1"/>
  <c r="N61" i="11" s="1"/>
  <c r="AH34" i="13" l="1"/>
  <c r="AH50" i="13" s="1"/>
  <c r="AD15" i="4" s="1"/>
  <c r="AH46" i="13"/>
  <c r="AC56" i="4"/>
  <c r="AC57" i="4"/>
  <c r="AC12" i="4"/>
  <c r="R5" i="18"/>
  <c r="AG22" i="1"/>
  <c r="AG40" i="1" s="1"/>
  <c r="AG39" i="1"/>
  <c r="K76" i="4"/>
  <c r="L68" i="11"/>
  <c r="L67" i="11"/>
  <c r="P68" i="11"/>
  <c r="P67" i="11"/>
  <c r="U67" i="11"/>
  <c r="K68" i="11"/>
  <c r="K67" i="11"/>
  <c r="Q68" i="11"/>
  <c r="Q67" i="11"/>
  <c r="S68" i="11"/>
  <c r="S67" i="11"/>
  <c r="R68" i="11"/>
  <c r="R67" i="11"/>
  <c r="M68" i="11"/>
  <c r="M67" i="11"/>
  <c r="T71" i="11"/>
  <c r="N68" i="11"/>
  <c r="N67" i="11"/>
  <c r="T12" i="11"/>
  <c r="T10" i="11"/>
  <c r="T7" i="11"/>
  <c r="P81" i="4"/>
  <c r="P79" i="4"/>
  <c r="K77" i="4"/>
  <c r="G33" i="10"/>
  <c r="F36" i="10"/>
  <c r="K33" i="10"/>
  <c r="F81" i="4"/>
  <c r="F79" i="4"/>
  <c r="F76" i="4" s="1"/>
  <c r="P95" i="4"/>
  <c r="P104" i="4"/>
  <c r="P101" i="4"/>
  <c r="P92" i="4"/>
  <c r="P98" i="4"/>
  <c r="P85" i="4"/>
  <c r="K92" i="4"/>
  <c r="K98" i="4"/>
  <c r="K101" i="4"/>
  <c r="K104" i="4"/>
  <c r="K95" i="4"/>
  <c r="F101" i="4"/>
  <c r="F92" i="4"/>
  <c r="K85" i="4"/>
  <c r="F98" i="4"/>
  <c r="F104" i="4"/>
  <c r="F95" i="4"/>
  <c r="P61" i="4"/>
  <c r="P59" i="4"/>
  <c r="P60" i="4"/>
  <c r="K47" i="4"/>
  <c r="P5" i="4"/>
  <c r="N20" i="1"/>
  <c r="K20" i="1"/>
  <c r="Q20" i="1"/>
  <c r="Q39" i="1" s="1"/>
  <c r="M20" i="1"/>
  <c r="M39" i="1" s="1"/>
  <c r="S20" i="1"/>
  <c r="S39" i="1" s="1"/>
  <c r="E32" i="1"/>
  <c r="L20" i="1"/>
  <c r="R20" i="1"/>
  <c r="R39" i="1" s="1"/>
  <c r="P20" i="1"/>
  <c r="P39" i="1" s="1"/>
  <c r="O12" i="1"/>
  <c r="O38" i="1" s="1"/>
  <c r="O52" i="11" s="1"/>
  <c r="D32" i="1"/>
  <c r="D34" i="1" s="1"/>
  <c r="O13" i="1"/>
  <c r="O66" i="11" s="1"/>
  <c r="T13" i="1"/>
  <c r="T66" i="11" s="1"/>
  <c r="Y67" i="11" s="1"/>
  <c r="S11" i="1"/>
  <c r="S60" i="11" s="1"/>
  <c r="S61" i="11" s="1"/>
  <c r="T12" i="1"/>
  <c r="T38" i="1" s="1"/>
  <c r="T52" i="11" s="1"/>
  <c r="AH21" i="1" l="1"/>
  <c r="AH18" i="1"/>
  <c r="AH13" i="1" s="1"/>
  <c r="AH20" i="1" s="1"/>
  <c r="AD6" i="10"/>
  <c r="AD56" i="4"/>
  <c r="AD57" i="4"/>
  <c r="AD12" i="4"/>
  <c r="E41" i="1"/>
  <c r="E34" i="1"/>
  <c r="P76" i="4"/>
  <c r="P77" i="4" s="1"/>
  <c r="N22" i="1"/>
  <c r="N40" i="1" s="1"/>
  <c r="N39" i="1"/>
  <c r="L28" i="1"/>
  <c r="L91" i="11" s="1"/>
  <c r="L39" i="1"/>
  <c r="K22" i="1"/>
  <c r="K40" i="1" s="1"/>
  <c r="K39" i="1"/>
  <c r="O68" i="11"/>
  <c r="O67" i="11"/>
  <c r="T68" i="11"/>
  <c r="T67" i="11"/>
  <c r="D5" i="10"/>
  <c r="D10" i="10" s="1"/>
  <c r="D32" i="10" s="1"/>
  <c r="D41" i="1"/>
  <c r="F77" i="4"/>
  <c r="N28" i="1"/>
  <c r="P47" i="4"/>
  <c r="L22" i="1"/>
  <c r="L40" i="1" s="1"/>
  <c r="T20" i="1"/>
  <c r="T39" i="1" s="1"/>
  <c r="O20" i="1"/>
  <c r="O39" i="1" s="1"/>
  <c r="M28" i="1"/>
  <c r="M91" i="11" s="1"/>
  <c r="M22" i="1"/>
  <c r="M40" i="1" s="1"/>
  <c r="K28" i="1"/>
  <c r="K91" i="11" s="1"/>
  <c r="S22" i="1"/>
  <c r="S40" i="1" s="1"/>
  <c r="S28" i="1"/>
  <c r="S91" i="11" s="1"/>
  <c r="Q28" i="1"/>
  <c r="Q91" i="11" s="1"/>
  <c r="Q22" i="1"/>
  <c r="Q40" i="1" s="1"/>
  <c r="S5" i="18" l="1"/>
  <c r="AH39" i="1"/>
  <c r="AH22" i="1"/>
  <c r="AH40" i="1" s="1"/>
  <c r="L32" i="1"/>
  <c r="H5" i="10" s="1"/>
  <c r="H10" i="10" s="1"/>
  <c r="H32" i="10" s="1"/>
  <c r="L41" i="1"/>
  <c r="L34" i="1"/>
  <c r="N32" i="1"/>
  <c r="N91" i="11"/>
  <c r="O28" i="1"/>
  <c r="O22" i="1"/>
  <c r="O40" i="1" s="1"/>
  <c r="K32" i="1"/>
  <c r="M32" i="1"/>
  <c r="Q32" i="1"/>
  <c r="S32" i="1"/>
  <c r="T28" i="1"/>
  <c r="T91" i="11" s="1"/>
  <c r="R22" i="1"/>
  <c r="R40" i="1" s="1"/>
  <c r="T22" i="1"/>
  <c r="R28" i="1"/>
  <c r="R91" i="11" s="1"/>
  <c r="P28" i="1"/>
  <c r="P91" i="11" s="1"/>
  <c r="P22" i="1"/>
  <c r="P40" i="1" s="1"/>
  <c r="Q41" i="1" l="1"/>
  <c r="Q34" i="1"/>
  <c r="S41" i="1"/>
  <c r="S34" i="1"/>
  <c r="M41" i="1"/>
  <c r="M34" i="1"/>
  <c r="K41" i="1"/>
  <c r="K34" i="1"/>
  <c r="N41" i="1"/>
  <c r="N34" i="1"/>
  <c r="J5" i="10"/>
  <c r="J10" i="10" s="1"/>
  <c r="J32" i="10" s="1"/>
  <c r="P64" i="4"/>
  <c r="T40" i="1"/>
  <c r="O32" i="1"/>
  <c r="O91" i="11"/>
  <c r="M5" i="10"/>
  <c r="M10" i="10" s="1"/>
  <c r="M32" i="10" s="1"/>
  <c r="T32" i="1"/>
  <c r="P32" i="1"/>
  <c r="I5" i="10"/>
  <c r="I10" i="10" s="1"/>
  <c r="I32" i="10" s="1"/>
  <c r="O5" i="10"/>
  <c r="O10" i="10" s="1"/>
  <c r="O32" i="10" s="1"/>
  <c r="R32" i="1"/>
  <c r="G5" i="10"/>
  <c r="G10" i="10" s="1"/>
  <c r="G32" i="10" s="1"/>
  <c r="G34" i="10" s="1"/>
  <c r="T41" i="1" l="1"/>
  <c r="T34" i="1"/>
  <c r="O41" i="1"/>
  <c r="O34" i="1"/>
  <c r="P41" i="1"/>
  <c r="P34" i="1"/>
  <c r="R41" i="1"/>
  <c r="R34" i="1"/>
  <c r="K5" i="10"/>
  <c r="K10" i="10" s="1"/>
  <c r="K32" i="10" s="1"/>
  <c r="K34" i="10" s="1"/>
  <c r="K36" i="10" s="1"/>
  <c r="H33" i="10"/>
  <c r="H34" i="10" s="1"/>
  <c r="G36" i="10"/>
  <c r="L5" i="10"/>
  <c r="L10" i="10" s="1"/>
  <c r="L32" i="10" s="1"/>
  <c r="P5" i="10"/>
  <c r="P10" i="10" s="1"/>
  <c r="P32" i="10" s="1"/>
  <c r="N5" i="10"/>
  <c r="N10" i="10" s="1"/>
  <c r="N32" i="10" s="1"/>
  <c r="Q92" i="4"/>
  <c r="L33" i="10" l="1"/>
  <c r="L34" i="10" s="1"/>
  <c r="P33" i="10"/>
  <c r="P34" i="10" s="1"/>
  <c r="U33" i="10" s="1"/>
  <c r="I33" i="10"/>
  <c r="I34" i="10" s="1"/>
  <c r="H36" i="10"/>
  <c r="J33" i="10" l="1"/>
  <c r="J34" i="10" s="1"/>
  <c r="J36" i="10" s="1"/>
  <c r="I36" i="10"/>
  <c r="Q33" i="10"/>
  <c r="Q34" i="10" s="1"/>
  <c r="P36" i="10"/>
  <c r="M33" i="10"/>
  <c r="M34" i="10" s="1"/>
  <c r="L36" i="10"/>
  <c r="Q36" i="10" l="1"/>
  <c r="R33" i="10"/>
  <c r="M36" i="10"/>
  <c r="N33" i="10"/>
  <c r="N34" i="10" s="1"/>
  <c r="O33" i="10" l="1"/>
  <c r="O34" i="10" s="1"/>
  <c r="O36" i="10" s="1"/>
  <c r="N36" i="10"/>
  <c r="D73" i="4"/>
  <c r="G10" i="19"/>
  <c r="AA10" i="19" l="1"/>
  <c r="N11" i="19"/>
  <c r="W10" i="19"/>
  <c r="J11" i="19"/>
  <c r="V10" i="19"/>
  <c r="I11" i="19"/>
  <c r="X10" i="19"/>
  <c r="K11" i="19"/>
  <c r="Z10" i="19"/>
  <c r="M11" i="19"/>
  <c r="AB10" i="19"/>
  <c r="O11" i="19"/>
  <c r="O27" i="19" l="1"/>
  <c r="O28" i="19" s="1"/>
  <c r="O42" i="19"/>
  <c r="O43" i="19" s="1"/>
  <c r="O30" i="19"/>
  <c r="O31" i="19" s="1"/>
  <c r="O32" i="19" s="1"/>
  <c r="O36" i="19"/>
  <c r="O37" i="19" s="1"/>
  <c r="O38" i="19" s="1"/>
  <c r="O39" i="19"/>
  <c r="O40" i="19" s="1"/>
  <c r="O41" i="19" s="1"/>
  <c r="O33" i="19"/>
  <c r="O34" i="19" s="1"/>
  <c r="O35" i="19" s="1"/>
  <c r="K39" i="19"/>
  <c r="K40" i="19" s="1"/>
  <c r="K33" i="19"/>
  <c r="K34" i="19" s="1"/>
  <c r="K27" i="19"/>
  <c r="K28" i="19" s="1"/>
  <c r="K42" i="19"/>
  <c r="K43" i="19" s="1"/>
  <c r="K30" i="19"/>
  <c r="K31" i="19" s="1"/>
  <c r="K36" i="19"/>
  <c r="K37" i="19" s="1"/>
  <c r="J42" i="19"/>
  <c r="J43" i="19" s="1"/>
  <c r="J39" i="19"/>
  <c r="J40" i="19" s="1"/>
  <c r="J36" i="19"/>
  <c r="J37" i="19" s="1"/>
  <c r="J33" i="19"/>
  <c r="J34" i="19" s="1"/>
  <c r="J30" i="19"/>
  <c r="J31" i="19" s="1"/>
  <c r="J27" i="19"/>
  <c r="J28" i="19" s="1"/>
  <c r="N39" i="19"/>
  <c r="N40" i="19" s="1"/>
  <c r="N41" i="19" s="1"/>
  <c r="N33" i="19"/>
  <c r="N34" i="19" s="1"/>
  <c r="N35" i="19" s="1"/>
  <c r="N27" i="19"/>
  <c r="N28" i="19" s="1"/>
  <c r="N42" i="19"/>
  <c r="N43" i="19" s="1"/>
  <c r="N30" i="19"/>
  <c r="N31" i="19" s="1"/>
  <c r="N32" i="19" s="1"/>
  <c r="N36" i="19"/>
  <c r="N37" i="19" s="1"/>
  <c r="N38" i="19" s="1"/>
  <c r="R3" i="4"/>
  <c r="S3" i="4"/>
  <c r="T3" i="4"/>
  <c r="U3" i="4"/>
  <c r="V3" i="4"/>
  <c r="W3" i="4"/>
  <c r="X3" i="4"/>
  <c r="Y3" i="4"/>
  <c r="Z3" i="4"/>
  <c r="AA3" i="4"/>
  <c r="AB3" i="4"/>
  <c r="AC3" i="4"/>
  <c r="AD3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R1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S33" i="10"/>
  <c r="T33" i="10"/>
  <c r="V33" i="10"/>
  <c r="W33" i="10"/>
  <c r="X33" i="10"/>
  <c r="Y33" i="10"/>
  <c r="Z33" i="10"/>
  <c r="AA33" i="10"/>
  <c r="AB33" i="10"/>
  <c r="AC33" i="10"/>
  <c r="AD33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R10" i="19"/>
  <c r="S10" i="19"/>
  <c r="AE10" i="19"/>
  <c r="AF10" i="19"/>
  <c r="R11" i="19"/>
  <c r="S11" i="19"/>
  <c r="R27" i="19"/>
  <c r="S27" i="19"/>
  <c r="R28" i="19"/>
  <c r="S28" i="19"/>
  <c r="R30" i="19"/>
  <c r="S30" i="19"/>
  <c r="R31" i="19"/>
  <c r="S31" i="19"/>
  <c r="J32" i="19"/>
  <c r="K32" i="19"/>
  <c r="R32" i="19"/>
  <c r="S32" i="19"/>
  <c r="R33" i="19"/>
  <c r="S33" i="19"/>
  <c r="R34" i="19"/>
  <c r="S34" i="19"/>
  <c r="J35" i="19"/>
  <c r="K35" i="19"/>
  <c r="R35" i="19"/>
  <c r="S35" i="19"/>
  <c r="R36" i="19"/>
  <c r="S36" i="19"/>
  <c r="R37" i="19"/>
  <c r="S37" i="19"/>
  <c r="J38" i="19"/>
  <c r="K38" i="19"/>
  <c r="R38" i="19"/>
  <c r="S38" i="19"/>
  <c r="R39" i="19"/>
  <c r="S39" i="19"/>
  <c r="R40" i="19"/>
  <c r="S40" i="19"/>
  <c r="J41" i="19"/>
  <c r="K41" i="19"/>
  <c r="R41" i="19"/>
  <c r="S41" i="19"/>
  <c r="R42" i="19"/>
  <c r="S42" i="19"/>
  <c r="R43" i="19"/>
  <c r="S43" i="19"/>
  <c r="R48" i="19"/>
  <c r="S48" i="19"/>
  <c r="J50" i="19"/>
  <c r="K50" i="19"/>
  <c r="Z3" i="18"/>
  <c r="J6" i="18"/>
  <c r="K6" i="18"/>
  <c r="L6" i="18"/>
  <c r="M6" i="18"/>
  <c r="N6" i="18"/>
  <c r="O6" i="18"/>
  <c r="P6" i="18"/>
  <c r="Q6" i="18"/>
  <c r="R6" i="18"/>
  <c r="S6" i="18"/>
  <c r="C7" i="18"/>
  <c r="J7" i="18"/>
  <c r="K7" i="18"/>
  <c r="L7" i="18"/>
  <c r="M7" i="18"/>
  <c r="N7" i="18"/>
  <c r="O7" i="18"/>
  <c r="P7" i="18"/>
  <c r="Q7" i="18"/>
  <c r="R7" i="18"/>
  <c r="S7" i="18"/>
  <c r="C8" i="18"/>
  <c r="C9" i="18"/>
  <c r="C10" i="18"/>
  <c r="J11" i="18"/>
  <c r="K11" i="18"/>
  <c r="L11" i="18"/>
  <c r="M11" i="18"/>
  <c r="N11" i="18"/>
  <c r="O11" i="18"/>
  <c r="P11" i="18"/>
  <c r="Q11" i="18"/>
  <c r="R11" i="18"/>
  <c r="S11" i="18"/>
  <c r="T11" i="18"/>
  <c r="C12" i="18"/>
  <c r="C13" i="18"/>
  <c r="J13" i="18"/>
  <c r="K13" i="18"/>
  <c r="L13" i="18"/>
  <c r="M13" i="18"/>
  <c r="N13" i="18"/>
  <c r="O13" i="18"/>
  <c r="P13" i="18"/>
  <c r="Q13" i="18"/>
  <c r="R13" i="18"/>
  <c r="S13" i="18"/>
  <c r="Z13" i="18"/>
  <c r="C14" i="18"/>
  <c r="J15" i="18"/>
  <c r="K15" i="18"/>
  <c r="L15" i="18"/>
  <c r="M15" i="18"/>
  <c r="N15" i="18"/>
  <c r="O15" i="18"/>
  <c r="P15" i="18"/>
  <c r="Q15" i="18"/>
  <c r="R15" i="18"/>
  <c r="S15" i="18"/>
  <c r="J16" i="18"/>
  <c r="K16" i="18"/>
  <c r="L16" i="18"/>
  <c r="M16" i="18"/>
  <c r="N16" i="18"/>
  <c r="O16" i="18"/>
  <c r="P16" i="18"/>
  <c r="Q16" i="18"/>
  <c r="R16" i="18"/>
  <c r="S16" i="18"/>
  <c r="T16" i="18"/>
  <c r="J21" i="18"/>
  <c r="K21" i="18"/>
  <c r="L21" i="18"/>
  <c r="M21" i="18"/>
  <c r="N21" i="18"/>
  <c r="O21" i="18"/>
  <c r="P21" i="18"/>
  <c r="Q21" i="18"/>
  <c r="R21" i="18"/>
  <c r="S21" i="18"/>
  <c r="T21" i="18"/>
  <c r="C22" i="18"/>
  <c r="J22" i="18"/>
  <c r="K22" i="18"/>
  <c r="L22" i="18"/>
  <c r="M22" i="18"/>
  <c r="N22" i="18"/>
  <c r="O22" i="18"/>
  <c r="P22" i="18"/>
  <c r="Q22" i="18"/>
  <c r="R22" i="18"/>
  <c r="S22" i="18"/>
  <c r="T22" i="18"/>
  <c r="C25" i="18"/>
  <c r="C29" i="18"/>
  <c r="C32" i="18"/>
  <c r="B35" i="18"/>
  <c r="B37" i="18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Y34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Y7" i="15"/>
  <c r="Z7" i="15"/>
  <c r="AA7" i="15"/>
  <c r="AB7" i="15"/>
  <c r="AC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thiago cedroni</author>
  </authors>
  <commentList>
    <comment ref="B31" authorId="0" shapeId="0" xr:uid="{6C60440F-3EA2-47FE-8E81-56ED5E2A7DA7}">
      <text>
        <r>
          <rPr>
            <b/>
            <sz val="9"/>
            <color indexed="81"/>
            <rFont val="Tahoma"/>
            <family val="2"/>
          </rPr>
          <t>thiago cedroni:</t>
        </r>
        <r>
          <rPr>
            <sz val="9"/>
            <color indexed="81"/>
            <rFont val="Tahoma"/>
            <family val="2"/>
          </rPr>
          <t xml:space="preserve">
Considerando um tempo médio de tratamento de 3 anos, o item é composto por novos casos daquele ano somado aos novos cados dois dois anos anteriores
</t>
        </r>
      </text>
    </comment>
    <comment ref="B32" authorId="0" shapeId="0" xr:uid="{E9324936-1F66-4D12-A5AF-DB8D9BED6436}">
      <text>
        <r>
          <rPr>
            <b/>
            <sz val="9"/>
            <color indexed="81"/>
            <rFont val="Tahoma"/>
            <family val="2"/>
          </rPr>
          <t>thiago cedroni:</t>
        </r>
        <r>
          <rPr>
            <sz val="9"/>
            <color indexed="81"/>
            <rFont val="Tahoma"/>
            <family val="2"/>
          </rPr>
          <t xml:space="preserve">
Considerando um tempo médio de tratamento de 3 anos, o item é composto por novos casos daquele ano somado aos novos cados dois dois anos anteriores
</t>
        </r>
      </text>
    </comment>
    <comment ref="B33" authorId="0" shapeId="0" xr:uid="{A2301B9D-9A6F-48C9-ACB6-D1B1840822D4}">
      <text>
        <r>
          <rPr>
            <b/>
            <sz val="9"/>
            <color indexed="81"/>
            <rFont val="Tahoma"/>
            <family val="2"/>
          </rPr>
          <t>thiago cedroni:</t>
        </r>
        <r>
          <rPr>
            <sz val="9"/>
            <color indexed="81"/>
            <rFont val="Tahoma"/>
            <family val="2"/>
          </rPr>
          <t xml:space="preserve">
Considerando um tempo médio de tratamento de 3 anos, o item é composto por novos casos daquele ano somado aos novos cados dois dois anos anteriores
</t>
        </r>
      </text>
    </comment>
    <comment ref="B34" authorId="0" shapeId="0" xr:uid="{10920ACF-2EC5-4C09-AD3F-AE66BDAE0C4C}">
      <text>
        <r>
          <rPr>
            <b/>
            <sz val="9"/>
            <color indexed="81"/>
            <rFont val="Tahoma"/>
            <family val="2"/>
          </rPr>
          <t>thiago cedroni:</t>
        </r>
        <r>
          <rPr>
            <sz val="9"/>
            <color indexed="81"/>
            <rFont val="Tahoma"/>
            <family val="2"/>
          </rPr>
          <t xml:space="preserve">
Segundo a IARC, a projeção de aumento dos casos de câncer no Brasil deve ser de 592,212 k em 2020 para 994,823 k em 2040, isso resulta em um CAGR de 2,63%</t>
        </r>
      </text>
    </comment>
    <comment ref="U34" authorId="0" shapeId="0" xr:uid="{7DDF02A7-FF2A-4E1F-9DB9-AC44394C0C52}">
      <text>
        <r>
          <rPr>
            <b/>
            <sz val="9"/>
            <color indexed="81"/>
            <rFont val="Tahoma"/>
            <family val="2"/>
          </rPr>
          <t>thiago cedroni:</t>
        </r>
        <r>
          <rPr>
            <sz val="9"/>
            <color indexed="81"/>
            <rFont val="Tahoma"/>
            <family val="2"/>
          </rPr>
          <t xml:space="preserve">
Source: INCA
https://rbc.inca.gov.br/index.php/revista/article/view/3700/2644</t>
        </r>
      </text>
    </comment>
    <comment ref="B57" authorId="0" shapeId="0" xr:uid="{384307BA-9110-4DCE-8F74-49CB3610EDD1}">
      <text>
        <r>
          <rPr>
            <b/>
            <sz val="9"/>
            <color indexed="81"/>
            <rFont val="Tahoma"/>
            <family val="2"/>
          </rPr>
          <t>thiago cedroni:</t>
        </r>
        <r>
          <rPr>
            <sz val="9"/>
            <color indexed="81"/>
            <rFont val="Tahoma"/>
            <family val="2"/>
          </rPr>
          <t xml:space="preserve">
Considerando um tempo médio de tratamento de 3 anos, o item é composto por novos casos daquele ano somado aos novos cados dois dois anos anteriores
</t>
        </r>
      </text>
    </comment>
    <comment ref="X58" authorId="0" shapeId="0" xr:uid="{BD79D439-D8AC-49D4-9AD0-C779B25680E3}">
      <text>
        <r>
          <rPr>
            <b/>
            <sz val="9"/>
            <color indexed="81"/>
            <rFont val="Tahoma"/>
            <family val="2"/>
          </rPr>
          <t>thiago cedroni:</t>
        </r>
        <r>
          <rPr>
            <sz val="9"/>
            <color indexed="81"/>
            <rFont val="Tahoma"/>
            <family val="2"/>
          </rPr>
          <t xml:space="preserve">
thiago cedroni:
A projeção de óbitos por câncer para o período de 2026-2030 é de 127,1 a cada 100 mil habitantes para homens e 113 a cada 100 mil habitantes para mulheres. Considerando uma proporção 1 homem para 1 mulher na população brasileira, chega-se a 120,05 óbitos a cada 100 mil habitantes no país
https://agenciabrasil.ebc.com.br/saude/noticia/2023-02/mortalidade-prematura-por-cancer-no-brasil-deve-cair-ate-2030#:~:text=O%20c%C3%A2ncer%20respondeu%2C%20em%202019,por%20100%20mil%20entre%20mulheres.</t>
        </r>
      </text>
    </comment>
  </commentList>
</comments>
</file>

<file path=xl/sharedStrings.xml><?xml version="1.0" encoding="utf-8"?>
<sst xmlns="http://schemas.openxmlformats.org/spreadsheetml/2006/main" count="1536" uniqueCount="581">
  <si>
    <t>1Q2020</t>
  </si>
  <si>
    <t>2Q2020</t>
  </si>
  <si>
    <t>3Q2020</t>
  </si>
  <si>
    <t>4Q2020</t>
  </si>
  <si>
    <t>1Q2021</t>
  </si>
  <si>
    <t>2Q2021</t>
  </si>
  <si>
    <t>3Q2021</t>
  </si>
  <si>
    <t>4Q2021</t>
  </si>
  <si>
    <t>1Q2022</t>
  </si>
  <si>
    <t>2Q2022</t>
  </si>
  <si>
    <t>3Q2022</t>
  </si>
  <si>
    <t>4Q2022</t>
  </si>
  <si>
    <t>Consolidated Income Statement</t>
  </si>
  <si>
    <t>Black - Formula</t>
  </si>
  <si>
    <t>Blue - Hardcode</t>
  </si>
  <si>
    <t>Gross Revenue</t>
  </si>
  <si>
    <t>[BRL Mn]</t>
  </si>
  <si>
    <t>(-) Deductions</t>
  </si>
  <si>
    <t>Net Revenue</t>
  </si>
  <si>
    <t>(-) COGS</t>
  </si>
  <si>
    <t>Gross Profit</t>
  </si>
  <si>
    <t>(-) Medical costs and drugs</t>
  </si>
  <si>
    <t>(-) Others</t>
  </si>
  <si>
    <t>(-) Expenses</t>
  </si>
  <si>
    <t>(-) G&amp;A</t>
  </si>
  <si>
    <t>(-) People and Third Parties</t>
  </si>
  <si>
    <t>(-) D&amp;A</t>
  </si>
  <si>
    <t>EBIT</t>
  </si>
  <si>
    <t>(+) D&amp;A</t>
  </si>
  <si>
    <t>EBITDA</t>
  </si>
  <si>
    <t>Financial Result</t>
  </si>
  <si>
    <t>(-) Financial Expenses</t>
  </si>
  <si>
    <t>(-) Interest</t>
  </si>
  <si>
    <t>(+) Financial Incomes</t>
  </si>
  <si>
    <t>EBT</t>
  </si>
  <si>
    <t>Net Income</t>
  </si>
  <si>
    <r>
      <t>(-) PILP fair value</t>
    </r>
    <r>
      <rPr>
        <sz val="5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("Plano de incentivo de longo prazo")</t>
    </r>
  </si>
  <si>
    <t>Taxes</t>
  </si>
  <si>
    <t>(-) Current taxes</t>
  </si>
  <si>
    <t>(+/-) Deferred taxes</t>
  </si>
  <si>
    <t>-</t>
  </si>
  <si>
    <t>Current Assets</t>
  </si>
  <si>
    <t>Accounts Receivable</t>
  </si>
  <si>
    <t>Inventory</t>
  </si>
  <si>
    <t>Total Assets</t>
  </si>
  <si>
    <t>Non-Current Assets</t>
  </si>
  <si>
    <t>Deferred Taxes</t>
  </si>
  <si>
    <t>Long-term Investments</t>
  </si>
  <si>
    <t>PP&amp;E</t>
  </si>
  <si>
    <t>Intangible Assets</t>
  </si>
  <si>
    <t>Right-of-Use (Lease)</t>
  </si>
  <si>
    <t>Liabilities and Shareholders'equity</t>
  </si>
  <si>
    <t>Total Liabilities</t>
  </si>
  <si>
    <t>Current Liabilities</t>
  </si>
  <si>
    <t>Suppliers</t>
  </si>
  <si>
    <t>Short-term Debt</t>
  </si>
  <si>
    <t>Accounts Payable for Acquisitions</t>
  </si>
  <si>
    <t>Dividends Payable</t>
  </si>
  <si>
    <t>Non-Current Liabilities</t>
  </si>
  <si>
    <t>Long-term Debt</t>
  </si>
  <si>
    <t>Shareholders' equity</t>
  </si>
  <si>
    <t>Share Capital</t>
  </si>
  <si>
    <t>Retained Earnings</t>
  </si>
  <si>
    <t>Treasury Stocks</t>
  </si>
  <si>
    <t>Impairments</t>
  </si>
  <si>
    <t>Transactions between partners</t>
  </si>
  <si>
    <t>Capital Reserve</t>
  </si>
  <si>
    <t>Expenses with IPO</t>
  </si>
  <si>
    <t>Non-controlling interest</t>
  </si>
  <si>
    <t>Red - Assumptions (it can have formula to create the assumption)</t>
  </si>
  <si>
    <t>(-) Glosa</t>
  </si>
  <si>
    <t>(-) Operating Expenses</t>
  </si>
  <si>
    <t>Balance Sheet Check</t>
  </si>
  <si>
    <t>Recoverable Taxes</t>
  </si>
  <si>
    <t>Other current assets</t>
  </si>
  <si>
    <t>Taxes Payable</t>
  </si>
  <si>
    <t>Payroll</t>
  </si>
  <si>
    <t>Other current liabilities</t>
  </si>
  <si>
    <t>Other non-current liabilities</t>
  </si>
  <si>
    <t>Other non-current assets</t>
  </si>
  <si>
    <t>Consolidated Cash Flow Statement</t>
  </si>
  <si>
    <t>Consolidated Balance Sheet</t>
  </si>
  <si>
    <t>(+/-) Other adjustments</t>
  </si>
  <si>
    <t>(+/-) OWC</t>
  </si>
  <si>
    <t>(+/-) Other operating assets and liabilities</t>
  </si>
  <si>
    <t>Cash Flow from Operations</t>
  </si>
  <si>
    <t>(+/-) Others</t>
  </si>
  <si>
    <t>Cash Flow from Investments</t>
  </si>
  <si>
    <t>Cash Flow from Financing</t>
  </si>
  <si>
    <t>(-) Dividends paid</t>
  </si>
  <si>
    <t>(-) Leasing</t>
  </si>
  <si>
    <t>(+) Capital Increase</t>
  </si>
  <si>
    <t>(-) Share repurchases and redemptions</t>
  </si>
  <si>
    <t>Changes in Cash</t>
  </si>
  <si>
    <t>Cash, Equivalents and Securities</t>
  </si>
  <si>
    <t>Leasing Liabilitiy (current)</t>
  </si>
  <si>
    <t>Leasing Liabilitiy (non-current)</t>
  </si>
  <si>
    <t>(-) CapEx</t>
  </si>
  <si>
    <t>(+/-) Debt</t>
  </si>
  <si>
    <t>(+/-) Acquisitions payments and others</t>
  </si>
  <si>
    <t>1Q2023</t>
  </si>
  <si>
    <t>2Q2023</t>
  </si>
  <si>
    <t>3Q2023</t>
  </si>
  <si>
    <t>4Q2023</t>
  </si>
  <si>
    <t>(+/-) Others Investments</t>
  </si>
  <si>
    <t>FX Change</t>
  </si>
  <si>
    <t>Securites</t>
  </si>
  <si>
    <t>Securities</t>
  </si>
  <si>
    <t>Cash, Equivalents BoP</t>
  </si>
  <si>
    <t>Cash, Equivalents EoP</t>
  </si>
  <si>
    <t>Balance Sheet Metrics</t>
  </si>
  <si>
    <t>Net Debt</t>
  </si>
  <si>
    <t>Net Debt (ex-acquisitions payables)</t>
  </si>
  <si>
    <t>Net Debt (ex-lease liabilities)</t>
  </si>
  <si>
    <t>Net Debt (ex-lease liabilities and ex-acquisitions payables)</t>
  </si>
  <si>
    <t>Total Debt</t>
  </si>
  <si>
    <t>Total Debt (ex-acquisitions payables)</t>
  </si>
  <si>
    <t>Invested Capital</t>
  </si>
  <si>
    <t>Alternative Invested Capital</t>
  </si>
  <si>
    <t>Alternative Working Capital</t>
  </si>
  <si>
    <t>Total Working Capital</t>
  </si>
  <si>
    <t>Quick Ratio</t>
  </si>
  <si>
    <t>Current Ratio</t>
  </si>
  <si>
    <t>Leverage</t>
  </si>
  <si>
    <t>(Net Debt) / EBITDA</t>
  </si>
  <si>
    <t>(Net Debt Ex-lease liabilities) / EBITDA</t>
  </si>
  <si>
    <t>Net Debt (ex-lease liabilities and ex-acquisitions payables) / EBITDA</t>
  </si>
  <si>
    <t>Operating Working Capital and Cash Conversion Cycle</t>
  </si>
  <si>
    <t>[%]</t>
  </si>
  <si>
    <t>Accounts Payable (= Suppliers)</t>
  </si>
  <si>
    <t>COGS</t>
  </si>
  <si>
    <t>Operating Cycle</t>
  </si>
  <si>
    <t>[Days]</t>
  </si>
  <si>
    <t>Cash Conversion Cycle</t>
  </si>
  <si>
    <t>Days in the period</t>
  </si>
  <si>
    <t>Operating Working Capital (OWC)</t>
  </si>
  <si>
    <t>ΔOWC</t>
  </si>
  <si>
    <t>as a % of revenue</t>
  </si>
  <si>
    <t>Other Balance Sheet Items</t>
  </si>
  <si>
    <t>% of Net Revenue</t>
  </si>
  <si>
    <t>Other Current Assets</t>
  </si>
  <si>
    <t>% of COGS</t>
  </si>
  <si>
    <t>[BRL]</t>
  </si>
  <si>
    <t>Build-Up</t>
  </si>
  <si>
    <t>Build-Up Summary</t>
  </si>
  <si>
    <t>CAGR</t>
  </si>
  <si>
    <t>YoY growth</t>
  </si>
  <si>
    <t>Market share</t>
  </si>
  <si>
    <t>Outpatient Revenue</t>
  </si>
  <si>
    <t>as % of total gross revenue</t>
  </si>
  <si>
    <t>Inpatient Revenue</t>
  </si>
  <si>
    <t>Units Build-Up</t>
  </si>
  <si>
    <t>Number of Units (EoP)</t>
  </si>
  <si>
    <t>[Units]</t>
  </si>
  <si>
    <t>Clinics</t>
  </si>
  <si>
    <t>Cancer Centers</t>
  </si>
  <si>
    <t>YoY new clinics assumption</t>
  </si>
  <si>
    <t>YoY new greenfield cancer centers</t>
  </si>
  <si>
    <t>YoY new partnership cancer centers</t>
  </si>
  <si>
    <t>North - metropolitan regions</t>
  </si>
  <si>
    <t>Manaus (AM)</t>
  </si>
  <si>
    <t>Belém (PA)</t>
  </si>
  <si>
    <t>Macapá (AP)</t>
  </si>
  <si>
    <t>Boa Vista (RR)</t>
  </si>
  <si>
    <t>Rio Branco (AC)</t>
  </si>
  <si>
    <t>Others</t>
  </si>
  <si>
    <t>Northeast - metropolitan regions</t>
  </si>
  <si>
    <t>Salvador (BA)</t>
  </si>
  <si>
    <t>Fortaleza (CE)</t>
  </si>
  <si>
    <t>Recife (PE)</t>
  </si>
  <si>
    <t>São Luís (MA)</t>
  </si>
  <si>
    <t>Maceió (AL)</t>
  </si>
  <si>
    <t>João Pessoa (PB)</t>
  </si>
  <si>
    <t>Aracaju e Itabaiana (SE)</t>
  </si>
  <si>
    <t>Southeast - metropolitan regions</t>
  </si>
  <si>
    <t>São Paulo (SP)</t>
  </si>
  <si>
    <t>Belo Horizonte (MG)</t>
  </si>
  <si>
    <t>Campinas (SP)</t>
  </si>
  <si>
    <t>Triângulo Mineiro (MG)</t>
  </si>
  <si>
    <t>São José do Rio Preto (SP)</t>
  </si>
  <si>
    <t>Presidente Prudente (SP)</t>
  </si>
  <si>
    <t>Ribeirão Preto (SP)</t>
  </si>
  <si>
    <t>Vitória (ES)</t>
  </si>
  <si>
    <t>South - metropolitan regions</t>
  </si>
  <si>
    <t>Curitiba (PR)</t>
  </si>
  <si>
    <t>Porto Alegre (RS)</t>
  </si>
  <si>
    <t>Joinville (SC)</t>
  </si>
  <si>
    <t>Londrina (PR)</t>
  </si>
  <si>
    <t>Florianópolis (SC)</t>
  </si>
  <si>
    <t>Central-West - metropolitan regions</t>
  </si>
  <si>
    <t>Brasília (DF)</t>
  </si>
  <si>
    <t>Goiânia (GO)</t>
  </si>
  <si>
    <t>Campo Grande (MS)</t>
  </si>
  <si>
    <t>Cuiabá (MT)</t>
  </si>
  <si>
    <t>Total procedures</t>
  </si>
  <si>
    <t>[Thousands of procedures]</t>
  </si>
  <si>
    <t>Clinics Procedures</t>
  </si>
  <si>
    <t>As % of total procedures</t>
  </si>
  <si>
    <t>Average Procedures per unit</t>
  </si>
  <si>
    <t>Growth assumption</t>
  </si>
  <si>
    <t>Hospital Procedures</t>
  </si>
  <si>
    <t>[Thousands procedures]</t>
  </si>
  <si>
    <t>Ticket</t>
  </si>
  <si>
    <t>Average ticket per precedure</t>
  </si>
  <si>
    <t>YoY ticket growth</t>
  </si>
  <si>
    <t>Medical costs and drugs per precedure</t>
  </si>
  <si>
    <t>Elasticity with Average ticket per precedure</t>
  </si>
  <si>
    <t>Average Ticker per clinic precedure</t>
  </si>
  <si>
    <t>IPCA + premium</t>
  </si>
  <si>
    <t>Average ticket per Hospital precedure</t>
  </si>
  <si>
    <t>[Mn People]</t>
  </si>
  <si>
    <t>COGS Build Up</t>
  </si>
  <si>
    <t>Gross Margin</t>
  </si>
  <si>
    <t>Medical costs and drugs</t>
  </si>
  <si>
    <t>as a % of total COGS</t>
  </si>
  <si>
    <t>YoY Growth</t>
  </si>
  <si>
    <t>Growth according to IPCA</t>
  </si>
  <si>
    <t>Number of Units</t>
  </si>
  <si>
    <t>Operating Expenses Build Up</t>
  </si>
  <si>
    <t>Operating Expenses</t>
  </si>
  <si>
    <t>as a % of Net Revenue</t>
  </si>
  <si>
    <t>Expenses</t>
  </si>
  <si>
    <t>People and Third Parties</t>
  </si>
  <si>
    <t>People and Third Parties expenses per unit</t>
  </si>
  <si>
    <t>G&amp;A</t>
  </si>
  <si>
    <t>G&amp;A expenses per unit</t>
  </si>
  <si>
    <t>Others expenses per unit</t>
  </si>
  <si>
    <t>Depreciation and Amortization (D&amp;A)</t>
  </si>
  <si>
    <t>PILP fair value</t>
  </si>
  <si>
    <t>Taxes build-up</t>
  </si>
  <si>
    <t>Marginal Tax Rate</t>
  </si>
  <si>
    <t>Nominal Tax Expense</t>
  </si>
  <si>
    <t xml:space="preserve"> </t>
  </si>
  <si>
    <t>Total</t>
  </si>
  <si>
    <t>Crescimento anual</t>
  </si>
  <si>
    <t>Clinics as % of total</t>
  </si>
  <si>
    <t>CCs as % of total2</t>
  </si>
  <si>
    <t>Ambulatorial</t>
  </si>
  <si>
    <t>Hospitalar</t>
  </si>
  <si>
    <t>Novas Clínicas</t>
  </si>
  <si>
    <t>Novos CCs</t>
  </si>
  <si>
    <t>2023e</t>
  </si>
  <si>
    <t>2024e</t>
  </si>
  <si>
    <t>2025e</t>
  </si>
  <si>
    <t>2026e</t>
  </si>
  <si>
    <t>2027e</t>
  </si>
  <si>
    <t>2028e</t>
  </si>
  <si>
    <t>2029e</t>
  </si>
  <si>
    <t>2030e</t>
  </si>
  <si>
    <t>2031e</t>
  </si>
  <si>
    <t>2032e</t>
  </si>
  <si>
    <t>Macro Assumptions</t>
  </si>
  <si>
    <r>
      <t xml:space="preserve">Macroeconomics Data </t>
    </r>
    <r>
      <rPr>
        <sz val="11"/>
        <color theme="0"/>
        <rFont val="Calibri"/>
        <family val="2"/>
        <scheme val="minor"/>
      </rPr>
      <t>(Sources: IBGE, IESS, Banco Central do Brasil, Focus Abril 23)</t>
    </r>
  </si>
  <si>
    <t>Brazilian GDP Growth</t>
  </si>
  <si>
    <t>Brazilian CPI - IPCA</t>
  </si>
  <si>
    <t>Medical Inflation (VCMH)</t>
  </si>
  <si>
    <t>Elasticity with IPCA</t>
  </si>
  <si>
    <t>Selic - Avg</t>
  </si>
  <si>
    <t>Unemployment</t>
  </si>
  <si>
    <t>(as a % of pop.)</t>
  </si>
  <si>
    <t>Unemployment QoQ Growth</t>
  </si>
  <si>
    <t>Unemployment YoY Growth</t>
  </si>
  <si>
    <t>Average Wage</t>
  </si>
  <si>
    <t>Wage QoQ Growth</t>
  </si>
  <si>
    <t>Wage YoY Growth</t>
  </si>
  <si>
    <t>Inflation Elasticity</t>
  </si>
  <si>
    <t>Brazilian population with health insurance</t>
  </si>
  <si>
    <t>Source: ANS</t>
  </si>
  <si>
    <t>People with health insurance</t>
  </si>
  <si>
    <t>Health insurance (as a % of pop.)</t>
  </si>
  <si>
    <t>YoY health insurance growth</t>
  </si>
  <si>
    <t>Unemployment growth elasticity</t>
  </si>
  <si>
    <t>Average Wage growth elasticity</t>
  </si>
  <si>
    <t>QoQ health insurance growth</t>
  </si>
  <si>
    <t>Brazilian elderly population</t>
  </si>
  <si>
    <t>Source: IBGE</t>
  </si>
  <si>
    <t>Elderly population</t>
  </si>
  <si>
    <t>Elderly people over 59 years (as a % of pop.)</t>
  </si>
  <si>
    <t>Brazilian cancer population</t>
  </si>
  <si>
    <t>Source: INCA , ARC (OMS) and Data SUS</t>
  </si>
  <si>
    <t>In-treatment patients estimation</t>
  </si>
  <si>
    <t>In-treatment patients estimation with health insurance</t>
  </si>
  <si>
    <t>as a % of health insurance</t>
  </si>
  <si>
    <t>New Cancer cases per year</t>
  </si>
  <si>
    <t>Mama Feminina</t>
  </si>
  <si>
    <t>Próstata</t>
  </si>
  <si>
    <t>Cólon e Reto</t>
  </si>
  <si>
    <t>Pulmão</t>
  </si>
  <si>
    <t>Estômago</t>
  </si>
  <si>
    <t>Colo do útero</t>
  </si>
  <si>
    <t>Glândula tireoide</t>
  </si>
  <si>
    <t>Cavidade Oral</t>
  </si>
  <si>
    <t>Linfoma não Hodgkin</t>
  </si>
  <si>
    <t>Leucemias</t>
  </si>
  <si>
    <t>Sistema Nervoso Central</t>
  </si>
  <si>
    <t>Bexiga</t>
  </si>
  <si>
    <t>Esôfago</t>
  </si>
  <si>
    <t>Pâncreas</t>
  </si>
  <si>
    <t>Fígado</t>
  </si>
  <si>
    <t>Pele melanoma</t>
  </si>
  <si>
    <t>Corpo de útero</t>
  </si>
  <si>
    <t>Laringe</t>
  </si>
  <si>
    <t>Ovário</t>
  </si>
  <si>
    <t>Linfona de Hodgkin</t>
  </si>
  <si>
    <t>Outros</t>
  </si>
  <si>
    <t>Pele não melanoma</t>
  </si>
  <si>
    <t>Deaths by cancer per year</t>
  </si>
  <si>
    <t>People in treatment (as a % of population)</t>
  </si>
  <si>
    <t>New cases per year (as a percentage of population)</t>
  </si>
  <si>
    <t>Deaths per year  (as a % of population with cancer)</t>
  </si>
  <si>
    <t>Elasticity between new cases and deaths</t>
  </si>
  <si>
    <t>Oncological Procedures</t>
  </si>
  <si>
    <t>Brazilian population</t>
  </si>
  <si>
    <t>Source: IBGE, IPEA, INCA and ANS</t>
  </si>
  <si>
    <t>Brazil</t>
  </si>
  <si>
    <t>[Mn people]</t>
  </si>
  <si>
    <t>Population yearly growth assumptions</t>
  </si>
  <si>
    <t>Regions</t>
  </si>
  <si>
    <t>Total Population</t>
  </si>
  <si>
    <t>New Cancer Cases per year</t>
  </si>
  <si>
    <t>Healthcare</t>
  </si>
  <si>
    <t>Healthcare as a % of total population</t>
  </si>
  <si>
    <t xml:space="preserve">Rio de Janeiro (RJ) </t>
  </si>
  <si>
    <t>Financial Margins</t>
  </si>
  <si>
    <t>EBIT Margin</t>
  </si>
  <si>
    <t>EBITDA Margin</t>
  </si>
  <si>
    <t>Net margin</t>
  </si>
  <si>
    <t>Others per unit (Clinics + hospitals)</t>
  </si>
  <si>
    <t>YoY growth (IPCA + premium for high quality professionals)</t>
  </si>
  <si>
    <t>YoY growth (IPCA)</t>
  </si>
  <si>
    <t>Cost e Opex Metrics</t>
  </si>
  <si>
    <t>Deductions (as a % of Gross Revenue)</t>
  </si>
  <si>
    <t>Glosas (as a % of Gross Revenue)</t>
  </si>
  <si>
    <t>(-) Dividends</t>
  </si>
  <si>
    <t>Payout ratio</t>
  </si>
  <si>
    <t>Procedures</t>
  </si>
  <si>
    <t>Days Inventory Outstanding (PME)</t>
  </si>
  <si>
    <t>Days Receivable Outstanding (PMRV)</t>
  </si>
  <si>
    <t>Days Payable Outstanding (PMP)</t>
  </si>
  <si>
    <t>Capex</t>
  </si>
  <si>
    <t>Intangible</t>
  </si>
  <si>
    <t xml:space="preserve">PP&amp;E </t>
  </si>
  <si>
    <t>PP&amp;E and Intangible</t>
  </si>
  <si>
    <t>D&amp;A</t>
  </si>
  <si>
    <t xml:space="preserve">   Amortization Tax</t>
  </si>
  <si>
    <t xml:space="preserve">   Total others</t>
  </si>
  <si>
    <t>Others Amortization</t>
  </si>
  <si>
    <t xml:space="preserve">   Total Partnership Agreements</t>
  </si>
  <si>
    <t>Partnership Agreements Amortization</t>
  </si>
  <si>
    <t>Goodwill Amortization</t>
  </si>
  <si>
    <t>Amortization</t>
  </si>
  <si>
    <t xml:space="preserve">   Depretiation as % of PP&amp;E</t>
  </si>
  <si>
    <t xml:space="preserve">   PP&amp;E total</t>
  </si>
  <si>
    <t>Depretiation</t>
  </si>
  <si>
    <t xml:space="preserve">      Others YoY Growth</t>
  </si>
  <si>
    <t xml:space="preserve">   Growth Capex</t>
  </si>
  <si>
    <t xml:space="preserve">   Maintenance Capex</t>
  </si>
  <si>
    <t>Others (total)</t>
  </si>
  <si>
    <t>Others Capex</t>
  </si>
  <si>
    <t>Partnership Agreements Capex</t>
  </si>
  <si>
    <t>Goodwill Capex</t>
  </si>
  <si>
    <t>Intangible Capex</t>
  </si>
  <si>
    <t xml:space="preserve">   % of Net Revenue</t>
  </si>
  <si>
    <t>Maitenance Capex</t>
  </si>
  <si>
    <t xml:space="preserve">      YoY Growth</t>
  </si>
  <si>
    <t xml:space="preserve">   Average Capex per Unit</t>
  </si>
  <si>
    <t xml:space="preserve">   Units acquired assumptions</t>
  </si>
  <si>
    <t>Clinics acquisitions</t>
  </si>
  <si>
    <t xml:space="preserve">   Goiânia (GO)</t>
  </si>
  <si>
    <t xml:space="preserve">   São Paulo (SP)</t>
  </si>
  <si>
    <t>In project cancer centers</t>
  </si>
  <si>
    <t>PP&amp;E Capex</t>
  </si>
  <si>
    <t>Long-term Accounts Payable for Acquisitions</t>
  </si>
  <si>
    <t>Short-term Accounts Payable for Acquisitions</t>
  </si>
  <si>
    <t>Total Accounts Payable for Acquisitions (BS position)</t>
  </si>
  <si>
    <t>Payments Schedule</t>
  </si>
  <si>
    <t>Acquisitions Schedule</t>
  </si>
  <si>
    <t>100% CDI</t>
  </si>
  <si>
    <t>Financial Income</t>
  </si>
  <si>
    <t>CDI + 2.5%</t>
  </si>
  <si>
    <t>Financial Expenses</t>
  </si>
  <si>
    <t>CDI + 1.25%</t>
  </si>
  <si>
    <t>"Debentures"</t>
  </si>
  <si>
    <t xml:space="preserve">TJLP + 0,5% a.a. </t>
  </si>
  <si>
    <t>"FINEP"</t>
  </si>
  <si>
    <t>CDI + 1,73% a.a</t>
  </si>
  <si>
    <t>"Lei 4.131"</t>
  </si>
  <si>
    <t>CDI + 1,16% a.a. à CDI + 1,30% a.a.</t>
  </si>
  <si>
    <t>"Certificado de Recebíveis Imobiliários (CRI)"</t>
  </si>
  <si>
    <t>CDI+1,9% a.a. à CDI+6,17% a.a. / 7,956% a.a. à 14,71% a.a</t>
  </si>
  <si>
    <t xml:space="preserve">"CCB / Capital de Giro" </t>
  </si>
  <si>
    <t>IPCA+1% a.a. à IPCA+2,82% a.a. / 5% a.a. à 11,48% a.a.</t>
  </si>
  <si>
    <t>"Financiamentos"</t>
  </si>
  <si>
    <t>TAX</t>
  </si>
  <si>
    <t>Debt Schedule</t>
  </si>
  <si>
    <t>PP&amp;E (ano 1) = PP&amp;E (ano 0) + Capex PP&amp;E - Depre.</t>
  </si>
  <si>
    <t>Intan. (ano 1) = Intan. (ano 0) + Capex Intan. - Amor.</t>
  </si>
  <si>
    <t>as % of Net Income</t>
  </si>
  <si>
    <t>Non controlling shareholders Net Income</t>
  </si>
  <si>
    <t>Brazil Risk Premium</t>
  </si>
  <si>
    <t>https://pages.stern.nyu.edu/~adamodar/New_Home_Page/datafile/ctryprem.html</t>
  </si>
  <si>
    <t>Equity Risk Premium</t>
  </si>
  <si>
    <t>https://www.cnbc.com/quotes/US10Y</t>
  </si>
  <si>
    <t>Risk Free Rate (US 10Y)</t>
  </si>
  <si>
    <t>Ke = Rf + ERP*Beta + CRP + Diferencial de Inflação + Prêmio de Liquidez</t>
  </si>
  <si>
    <t>Ke</t>
  </si>
  <si>
    <t>BRL/USD CPI Spread Future Projection</t>
  </si>
  <si>
    <t>Kd (Post-Tax)</t>
  </si>
  <si>
    <t>Small Cap Liquidity + Goldman Premium</t>
  </si>
  <si>
    <t>Country Risk Premium</t>
  </si>
  <si>
    <t>Kd (Pre-Tax)</t>
  </si>
  <si>
    <t>CDI</t>
  </si>
  <si>
    <t>"Debêntures"</t>
  </si>
  <si>
    <t>Levered Beta</t>
  </si>
  <si>
    <t>TJLP</t>
  </si>
  <si>
    <t>D/E</t>
  </si>
  <si>
    <t>Tax rate</t>
  </si>
  <si>
    <t>Tax Rate</t>
  </si>
  <si>
    <t>Unlevered Beta</t>
  </si>
  <si>
    <t>IPCA</t>
  </si>
  <si>
    <t>Rates</t>
  </si>
  <si>
    <t>Debt Principal</t>
  </si>
  <si>
    <t>Effective Rate</t>
  </si>
  <si>
    <t>Spread</t>
  </si>
  <si>
    <t>Index</t>
  </si>
  <si>
    <t>Debts</t>
  </si>
  <si>
    <t>Cost of Debt</t>
  </si>
  <si>
    <t>Ke adjustment over time</t>
  </si>
  <si>
    <t>Average</t>
  </si>
  <si>
    <t>Median</t>
  </si>
  <si>
    <t>ONCO3</t>
  </si>
  <si>
    <t>Oncoclínicas</t>
  </si>
  <si>
    <t>AALR3</t>
  </si>
  <si>
    <t>Alliar</t>
  </si>
  <si>
    <t>MATD3</t>
  </si>
  <si>
    <t>Hospital Mater Dei</t>
  </si>
  <si>
    <t>FLRY3</t>
  </si>
  <si>
    <t>Fleury</t>
  </si>
  <si>
    <t>KRSA3</t>
  </si>
  <si>
    <t>Kora Saúde</t>
  </si>
  <si>
    <t>RDOR3</t>
  </si>
  <si>
    <t>Rede D'Or</t>
  </si>
  <si>
    <t>Asset beta</t>
  </si>
  <si>
    <t>Equity [Bn]</t>
  </si>
  <si>
    <t>Debt [Bn]</t>
  </si>
  <si>
    <t>Equity Beta</t>
  </si>
  <si>
    <t>Country</t>
  </si>
  <si>
    <t>Ticker</t>
  </si>
  <si>
    <t>Local Peers</t>
  </si>
  <si>
    <t>USA</t>
  </si>
  <si>
    <t>SEM</t>
  </si>
  <si>
    <t>Select Medical Holdings Corporation</t>
  </si>
  <si>
    <t>EHC</t>
  </si>
  <si>
    <t>Encompass Health Corporation</t>
  </si>
  <si>
    <t>THC</t>
  </si>
  <si>
    <t>Tenet Healthcare Corporation</t>
  </si>
  <si>
    <t>UHS</t>
  </si>
  <si>
    <t>Universal Health Services</t>
  </si>
  <si>
    <t>HCA</t>
  </si>
  <si>
    <t>HCA Healthcare</t>
  </si>
  <si>
    <t>Global Peers</t>
  </si>
  <si>
    <t>Industry Beta</t>
  </si>
  <si>
    <t>TV Contribution (FCFE)</t>
  </si>
  <si>
    <t>TV Contribution (FCFF)</t>
  </si>
  <si>
    <t>Terminal Value PGM</t>
  </si>
  <si>
    <t>g</t>
  </si>
  <si>
    <t>FCFE (2032e)</t>
  </si>
  <si>
    <t>Perpetuity Growth Method</t>
  </si>
  <si>
    <t>Capital Structure</t>
  </si>
  <si>
    <t>Terminal Value (FCFE)</t>
  </si>
  <si>
    <t>Perp.</t>
  </si>
  <si>
    <t>Capital Structure Dynamics</t>
  </si>
  <si>
    <t>WACC</t>
  </si>
  <si>
    <t>FCFF (2032e)</t>
  </si>
  <si>
    <t>Terminal Value (FCFF)</t>
  </si>
  <si>
    <t>Kd (post-tax)</t>
  </si>
  <si>
    <t>Discount Rate</t>
  </si>
  <si>
    <t>Equity Value</t>
  </si>
  <si>
    <t>Upside</t>
  </si>
  <si>
    <t>Target Price</t>
  </si>
  <si>
    <t>Target Price (FCFE)</t>
  </si>
  <si>
    <t>Enterprise Value</t>
  </si>
  <si>
    <t>Target Price (FCFF)</t>
  </si>
  <si>
    <t>Non-controlling interest [Mn]</t>
  </si>
  <si>
    <t>(-) Net Debt</t>
  </si>
  <si>
    <t>Shares Outstandings (Mn)</t>
  </si>
  <si>
    <t>Current Share Price</t>
  </si>
  <si>
    <t>DCF Valuation</t>
  </si>
  <si>
    <t>Summary</t>
  </si>
  <si>
    <t>Variable</t>
  </si>
  <si>
    <t>Tax Income</t>
  </si>
  <si>
    <t>NOPAT</t>
  </si>
  <si>
    <t>(+) D&amp;A (with Right of Use)</t>
  </si>
  <si>
    <t>(-) Capex</t>
  </si>
  <si>
    <t>(+/-) Changes in OWC</t>
  </si>
  <si>
    <t>Free Cash Flow to Firm</t>
  </si>
  <si>
    <t>(+/-) Net Borrowings</t>
  </si>
  <si>
    <t>(-) Non controlling interest</t>
  </si>
  <si>
    <t>Free Cash Flow to Equity</t>
  </si>
  <si>
    <t>Date</t>
  </si>
  <si>
    <t>Discount Year</t>
  </si>
  <si>
    <t>Discount Factor (FCFF)</t>
  </si>
  <si>
    <t>Discount Factor (FCFE)</t>
  </si>
  <si>
    <t>Discounted Cash Flow (FCFF)</t>
  </si>
  <si>
    <t>Discounted Cash Flow (FCFE)</t>
  </si>
  <si>
    <t>Market Cap. [Bn]</t>
  </si>
  <si>
    <t>Total Debt [Bn]</t>
  </si>
  <si>
    <t>Weight of Equity</t>
  </si>
  <si>
    <t>Weight of Debt</t>
  </si>
  <si>
    <t>Share Price = Equity Value/Shares Outstanding</t>
  </si>
  <si>
    <t>Equity Value = Enterprise Value - Debt + Cash</t>
  </si>
  <si>
    <t>Net Debt = Debt - Cash</t>
  </si>
  <si>
    <t>Equity Value = Enterprise Value - Net Debt</t>
  </si>
  <si>
    <t>Enterprise Value = Equity Value + Net Debt</t>
  </si>
  <si>
    <t>P</t>
  </si>
  <si>
    <t>P/E</t>
  </si>
  <si>
    <t>EV</t>
  </si>
  <si>
    <t>EV/Revenue</t>
  </si>
  <si>
    <t>Range de Target Price</t>
  </si>
  <si>
    <t>5.</t>
  </si>
  <si>
    <t>Valuation</t>
  </si>
  <si>
    <t>4.</t>
  </si>
  <si>
    <t>Análise Estatística</t>
  </si>
  <si>
    <t>3.</t>
  </si>
  <si>
    <t>Coleta de dados</t>
  </si>
  <si>
    <t>2.</t>
  </si>
  <si>
    <t>Seleção de Peers</t>
  </si>
  <si>
    <t>1.</t>
  </si>
  <si>
    <t>Cash</t>
  </si>
  <si>
    <t>Debt</t>
  </si>
  <si>
    <t>FY24</t>
  </si>
  <si>
    <t>FY23</t>
  </si>
  <si>
    <t>LTM</t>
  </si>
  <si>
    <t>Earnings</t>
  </si>
  <si>
    <t>Revenue</t>
  </si>
  <si>
    <t>Maximum</t>
  </si>
  <si>
    <t>Share price</t>
  </si>
  <si>
    <t>75th percentile</t>
  </si>
  <si>
    <t>Share Price</t>
  </si>
  <si>
    <t>25th percentile</t>
  </si>
  <si>
    <t>Minimum</t>
  </si>
  <si>
    <t>P / E</t>
  </si>
  <si>
    <t>EV / EBITDA</t>
  </si>
  <si>
    <t>EV / Revenue</t>
  </si>
  <si>
    <t>Enterprise Value [Mn]</t>
  </si>
  <si>
    <t>Market Cap [Mn]</t>
  </si>
  <si>
    <t>Multiple Valuation</t>
  </si>
  <si>
    <t>Global Players</t>
  </si>
  <si>
    <t>Local players</t>
  </si>
  <si>
    <t>Multiples Range</t>
  </si>
  <si>
    <t>Comparable Multiple Analysis</t>
  </si>
  <si>
    <t>Running</t>
  </si>
  <si>
    <t>Bull</t>
  </si>
  <si>
    <t>Base</t>
  </si>
  <si>
    <t>Bear</t>
  </si>
  <si>
    <t>Scenario</t>
  </si>
  <si>
    <t>2032E</t>
  </si>
  <si>
    <t>2031E</t>
  </si>
  <si>
    <t>2030E</t>
  </si>
  <si>
    <t>2029E</t>
  </si>
  <si>
    <t>2028E</t>
  </si>
  <si>
    <t>2027E</t>
  </si>
  <si>
    <t>2026E</t>
  </si>
  <si>
    <t>2025E</t>
  </si>
  <si>
    <t>2024E</t>
  </si>
  <si>
    <t>2023E</t>
  </si>
  <si>
    <t>4Q23E</t>
  </si>
  <si>
    <t>3Q23E</t>
  </si>
  <si>
    <t>2Q23E</t>
  </si>
  <si>
    <t>Average Ticket - Per Hospital</t>
  </si>
  <si>
    <t>Average Ticket - Per Clinic</t>
  </si>
  <si>
    <t>CapEx/Clinic</t>
  </si>
  <si>
    <t># of New Clinics</t>
  </si>
  <si>
    <t>https://github.com/ffernie/onco3_modeling.git</t>
  </si>
  <si>
    <t>Diferentemente do que feito em aula, optei por utilizar o beta estatístico, ou seja, obtido a partir de uma regressão linear, utilizando as ferramentas disponíveis do Python. O código está disponível em meu GitHub:</t>
  </si>
  <si>
    <t>Check dos requisitos para o certificado</t>
  </si>
  <si>
    <t>BP Batendo -&gt;</t>
  </si>
  <si>
    <t>Target Price ONCO3 -&gt;</t>
  </si>
  <si>
    <t>Terminal Value Via PGM e EMM-&gt;</t>
  </si>
  <si>
    <t>Tabela de Múltiplos ONCO3 + Peers-&gt;</t>
  </si>
  <si>
    <t>2 Tables de sensibilidade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</si>
</sst>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5" formatCode="&quot;R$&quot;\ #,##0;\-&quot;R$&quot;\ #,##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&quot;e&quot;"/>
    <numFmt numFmtId="165" formatCode="#,##0;\(#,##0\);\-"/>
    <numFmt numFmtId="166" formatCode="#,##0.0;\(#,##0.0\);\-"/>
    <numFmt numFmtId="167" formatCode="#,##0.00;\(#,##0.00\);\-"/>
    <numFmt numFmtId="168" formatCode="#,##0.000000;\(#,##0.000000\);\-"/>
    <numFmt numFmtId="169" formatCode="#,##0.0000000;\(#,##0.0000000\);\-"/>
    <numFmt numFmtId="170" formatCode="General_)"/>
    <numFmt numFmtId="171" formatCode="#,##0,"/>
    <numFmt numFmtId="172" formatCode="#,##0,,"/>
    <numFmt numFmtId="173" formatCode="_([$€-2]* #,##0.00_);_([$€-2]* \(#,##0.00\);_([$€-2]* &quot;-&quot;??_)"/>
    <numFmt numFmtId="174" formatCode="#,#00"/>
    <numFmt numFmtId="175" formatCode="_-* #,##0\ _P_t_s_-;\-* #,##0\ _P_t_s_-;_-* &quot;-&quot;\ _P_t_s_-;_-@_-"/>
    <numFmt numFmtId="176" formatCode="_-* #,##0.00\ _P_t_s_-;\-* #,##0.00\ _P_t_s_-;_-* &quot;-&quot;??\ _P_t_s_-;_-@_-"/>
    <numFmt numFmtId="177" formatCode="_-* #,##0\ &quot;Pts&quot;_-;\-* #,##0\ &quot;Pts&quot;_-;_-* &quot;-&quot;\ &quot;Pts&quot;_-;_-@_-"/>
    <numFmt numFmtId="178" formatCode="_-* #,##0.00\ &quot;Pts&quot;_-;\-* #,##0.00\ &quot;Pts&quot;_-;_-* &quot;-&quot;??\ &quot;Pts&quot;_-;_-@_-"/>
    <numFmt numFmtId="179" formatCode="#,##0.00_);\(#,##0.00\);&quot; --- &quot;"/>
    <numFmt numFmtId="180" formatCode="%#,#00"/>
    <numFmt numFmtId="181" formatCode="#.##000"/>
    <numFmt numFmtId="182" formatCode="0.00\ %"/>
    <numFmt numFmtId="183" formatCode="#\ ###\ ###\ ##0\ "/>
    <numFmt numFmtId="184" formatCode="#,"/>
    <numFmt numFmtId="185" formatCode="_ [$€-2]\ * #,##0.00_ ;_ [$€-2]\ * \-#,##0.00_ ;_ [$€-2]\ * &quot;-&quot;??_ "/>
    <numFmt numFmtId="186" formatCode="\$#,##0\ ;\(\$#,##0\)"/>
    <numFmt numFmtId="187" formatCode="_(\(*)\ #,##0.00_);_(\(*)\ \(#,##0.00\);_(\(*)\ &quot;-&quot;??_);_(@_)"/>
    <numFmt numFmtId="188" formatCode="&quot;Cr$&quot;#,##0.00_);\(&quot;Cr$&quot;#,##0.00\)"/>
    <numFmt numFmtId="189" formatCode="@&quot;e&quot;"/>
    <numFmt numFmtId="190" formatCode="0.0"/>
    <numFmt numFmtId="191" formatCode="#,##0.0"/>
    <numFmt numFmtId="192" formatCode="0.00&quot;x&quot;"/>
    <numFmt numFmtId="193" formatCode="0.0%"/>
    <numFmt numFmtId="194" formatCode="0.000"/>
    <numFmt numFmtId="195" formatCode="0.000%"/>
    <numFmt numFmtId="196" formatCode="0.0000%"/>
    <numFmt numFmtId="197" formatCode="0.0&quot;x&quot;"/>
    <numFmt numFmtId="198" formatCode="#,##0_);\(#,##0\);\-"/>
    <numFmt numFmtId="199" formatCode="#,##0.000_);\(#,##0.000\)"/>
    <numFmt numFmtId="200" formatCode="#,##0.0000000000000_);\(#,##0.0000000000000\)"/>
    <numFmt numFmtId="201" formatCode="#,##0.0_);\(#,##0.0\);\-"/>
    <numFmt numFmtId="202" formatCode="0%;\(0%\);\-"/>
    <numFmt numFmtId="203" formatCode="0.0%;\(0.0%\);\-"/>
    <numFmt numFmtId="204" formatCode="_-[$R$-416]\ * #,##0_-;\-[$R$-416]\ * #,##0_-;_-[$R$-416]\ * &quot;-&quot;_-;_-@_-"/>
    <numFmt numFmtId="205" formatCode="_-&quot;R$&quot;\ * #,##0.0_-;\-&quot;R$&quot;\ * #,##0.0_-;_-&quot;R$&quot;\ * &quot;-&quot;??_-;_-@_-"/>
  </numFmts>
  <fonts count="1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8A8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2"/>
      <color theme="1"/>
      <name val="Verdana"/>
      <family val="2"/>
    </font>
    <font>
      <sz val="8"/>
      <name val="Arial"/>
      <family val="2"/>
    </font>
    <font>
      <b/>
      <sz val="10"/>
      <name val="Arial"/>
      <family val="2"/>
    </font>
    <font>
      <sz val="8"/>
      <name val="SwitzerlandLight"/>
    </font>
    <font>
      <sz val="7"/>
      <name val="Times New Roman"/>
      <family val="1"/>
    </font>
    <font>
      <sz val="10"/>
      <name val="Trebuchet MS"/>
      <family val="2"/>
    </font>
    <font>
      <sz val="1"/>
      <color indexed="8"/>
      <name val="Courier"/>
      <family val="3"/>
    </font>
    <font>
      <sz val="11"/>
      <name val="Book Antiqua"/>
      <family val="1"/>
    </font>
    <font>
      <sz val="11"/>
      <name val="Times New Roman"/>
      <family val="1"/>
    </font>
    <font>
      <i/>
      <sz val="10"/>
      <name val="Arial"/>
      <family val="2"/>
    </font>
    <font>
      <sz val="10"/>
      <name val="MS Sans Serif"/>
      <family val="2"/>
    </font>
    <font>
      <b/>
      <sz val="14"/>
      <name val="Times New Roman"/>
      <family val="1"/>
    </font>
    <font>
      <b/>
      <sz val="1"/>
      <color indexed="8"/>
      <name val="Courier"/>
      <family val="3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Courier"/>
      <family val="3"/>
    </font>
    <font>
      <b/>
      <sz val="10"/>
      <color indexed="52"/>
      <name val="Arial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13"/>
      <color indexed="9"/>
      <name val="Verdana"/>
      <family val="2"/>
    </font>
    <font>
      <b/>
      <sz val="10"/>
      <color indexed="54"/>
      <name val="Verdana"/>
      <family val="2"/>
    </font>
    <font>
      <sz val="11"/>
      <color indexed="8"/>
      <name val="Arial"/>
      <family val="2"/>
    </font>
    <font>
      <sz val="10"/>
      <color indexed="62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color indexed="8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b/>
      <sz val="12"/>
      <color theme="0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  <font>
      <sz val="12"/>
      <color indexed="8"/>
      <name val="Arial"/>
      <family val="2"/>
    </font>
    <font>
      <b/>
      <sz val="12"/>
      <color indexed="5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sz val="7"/>
      <name val="SwitzerlandLight"/>
    </font>
    <font>
      <u/>
      <sz val="10"/>
      <color indexed="36"/>
      <name val="Arial"/>
      <family val="2"/>
    </font>
    <font>
      <b/>
      <sz val="18"/>
      <color indexed="62"/>
      <name val="Cambria"/>
      <family val="2"/>
    </font>
    <font>
      <sz val="12"/>
      <color indexed="10"/>
      <name val="Verdana"/>
      <family val="2"/>
    </font>
    <font>
      <b/>
      <sz val="12"/>
      <color indexed="10"/>
      <name val="Verdana"/>
      <family val="2"/>
    </font>
    <font>
      <sz val="12"/>
      <color indexed="19"/>
      <name val="Verdana"/>
      <family val="2"/>
    </font>
    <font>
      <b/>
      <sz val="15"/>
      <color indexed="62"/>
      <name val="Verdana"/>
      <family val="2"/>
    </font>
    <font>
      <b/>
      <sz val="13"/>
      <color indexed="62"/>
      <name val="Verdana"/>
      <family val="2"/>
    </font>
    <font>
      <b/>
      <sz val="11"/>
      <color indexed="62"/>
      <name val="Verdana"/>
      <family val="2"/>
    </font>
    <font>
      <sz val="12"/>
      <color indexed="62"/>
      <name val="Verdana"/>
      <family val="2"/>
    </font>
    <font>
      <sz val="12"/>
      <color indexed="62"/>
      <name val="Arial"/>
      <family val="2"/>
    </font>
    <font>
      <b/>
      <sz val="12"/>
      <color indexed="63"/>
      <name val="Verdana"/>
      <family val="2"/>
    </font>
    <font>
      <b/>
      <sz val="12"/>
      <color indexed="63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rgb="FF9C0006"/>
      <name val="Arial"/>
      <family val="2"/>
    </font>
    <font>
      <b/>
      <sz val="12"/>
      <color theme="0"/>
      <name val="Arial"/>
      <family val="2"/>
    </font>
    <font>
      <i/>
      <sz val="12"/>
      <color rgb="FF7F7F7F"/>
      <name val="Arial"/>
      <family val="2"/>
    </font>
    <font>
      <sz val="12"/>
      <color rgb="FF006100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9"/>
      <name val="Verdana"/>
      <family val="2"/>
    </font>
    <font>
      <sz val="12"/>
      <color indexed="9"/>
      <name val="Arial"/>
      <family val="2"/>
    </font>
    <font>
      <sz val="12"/>
      <color indexed="20"/>
      <name val="Verdana"/>
      <family val="2"/>
    </font>
    <font>
      <sz val="12"/>
      <color indexed="2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color indexed="52"/>
      <name val="Verdana"/>
      <family val="2"/>
    </font>
    <font>
      <b/>
      <sz val="9"/>
      <name val="Times New Roman"/>
      <family val="1"/>
    </font>
    <font>
      <b/>
      <sz val="12"/>
      <color indexed="9"/>
      <name val="Verdana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i/>
      <sz val="12"/>
      <color indexed="23"/>
      <name val="Arial"/>
      <family val="2"/>
    </font>
    <font>
      <sz val="12"/>
      <color indexed="17"/>
      <name val="Verdana"/>
      <family val="2"/>
    </font>
    <font>
      <sz val="12"/>
      <color indexed="17"/>
      <name val="Arial"/>
      <family val="2"/>
    </font>
    <font>
      <b/>
      <sz val="15"/>
      <color indexed="49"/>
      <name val="Verdana"/>
      <family val="2"/>
    </font>
    <font>
      <b/>
      <sz val="15"/>
      <color indexed="49"/>
      <name val="Arial"/>
      <family val="2"/>
    </font>
    <font>
      <b/>
      <sz val="13"/>
      <color indexed="49"/>
      <name val="Verdana"/>
      <family val="2"/>
    </font>
    <font>
      <b/>
      <sz val="13"/>
      <color indexed="49"/>
      <name val="Arial"/>
      <family val="2"/>
    </font>
    <font>
      <b/>
      <sz val="11"/>
      <color indexed="49"/>
      <name val="Verdana"/>
      <family val="2"/>
    </font>
    <font>
      <b/>
      <sz val="11"/>
      <color indexed="49"/>
      <name val="Arial"/>
      <family val="2"/>
    </font>
    <font>
      <sz val="12"/>
      <color indexed="54"/>
      <name val="Arial"/>
      <family val="2"/>
    </font>
    <font>
      <sz val="12"/>
      <color indexed="54"/>
      <name val="Verdana"/>
      <family val="2"/>
    </font>
    <font>
      <sz val="12"/>
      <color indexed="52"/>
      <name val="Verdana"/>
      <family val="2"/>
    </font>
    <font>
      <sz val="12"/>
      <color indexed="19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Verdana"/>
      <family val="2"/>
    </font>
    <font>
      <b/>
      <sz val="18"/>
      <color indexed="49"/>
      <name val="Cambria"/>
      <family val="2"/>
    </font>
    <font>
      <sz val="10"/>
      <name val="Helv"/>
    </font>
    <font>
      <sz val="12"/>
      <color indexed="10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4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606060"/>
      <name val="Arial"/>
      <family val="2"/>
    </font>
    <font>
      <sz val="11"/>
      <color rgb="FF606060"/>
      <name val="Arial"/>
      <family val="2"/>
    </font>
    <font>
      <i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 "/>
    </font>
    <font>
      <b/>
      <i/>
      <sz val="10"/>
      <color theme="1"/>
      <name val="Calibri"/>
      <family val="1"/>
      <charset val="2"/>
    </font>
    <font>
      <i/>
      <sz val="10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008A83"/>
        <bgColor indexed="64"/>
      </patternFill>
    </fill>
    <fill>
      <patternFill patternType="solid">
        <fgColor rgb="FFD4D5D6"/>
        <bgColor indexed="64"/>
      </patternFill>
    </fill>
    <fill>
      <patternFill patternType="solid">
        <fgColor rgb="FF00B5A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4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</patternFill>
    </fill>
    <fill>
      <patternFill patternType="solid">
        <fgColor indexed="18"/>
      </patternFill>
    </fill>
    <fill>
      <patternFill patternType="solid">
        <fgColor indexed="28"/>
      </patternFill>
    </fill>
    <fill>
      <patternFill patternType="solid">
        <fgColor indexed="9"/>
      </patternFill>
    </fill>
    <fill>
      <patternFill patternType="solid">
        <fgColor indexed="25"/>
      </patternFill>
    </fill>
    <fill>
      <patternFill patternType="solid">
        <fgColor indexed="54"/>
      </patternFill>
    </fill>
    <fill>
      <patternFill patternType="solid">
        <fgColor rgb="FFFFFF00"/>
        <bgColor indexed="64"/>
      </patternFill>
    </fill>
    <fill>
      <patternFill patternType="solid">
        <fgColor rgb="FFC1FFFC"/>
        <bgColor indexed="64"/>
      </patternFill>
    </fill>
    <fill>
      <patternFill patternType="solid">
        <fgColor rgb="FF00D2C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5E38"/>
        <bgColor indexed="64"/>
      </patternFill>
    </fill>
    <fill>
      <patternFill patternType="solid">
        <fgColor rgb="FF2FFFF5"/>
        <bgColor indexed="64"/>
      </patternFill>
    </fill>
    <fill>
      <patternFill patternType="solid">
        <fgColor theme="0" tint="-0.34998626667073579"/>
        <bgColor indexed="64"/>
      </patternFill>
    </fill>
  </fills>
  <borders count="1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medium">
        <color theme="0" tint="-0.499984740745262"/>
      </left>
      <right/>
      <top style="thin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tted">
        <color theme="0" tint="-0.499984740745262"/>
      </right>
      <top/>
      <bottom/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 style="dotted">
        <color theme="0" tint="-0.499984740745262"/>
      </left>
      <right/>
      <top/>
      <bottom/>
      <diagonal/>
    </border>
    <border>
      <left/>
      <right style="dotted">
        <color theme="0" tint="-0.499984740745262"/>
      </right>
      <top style="dotted">
        <color theme="0" tint="-0.499984740745262"/>
      </top>
      <bottom/>
      <diagonal/>
    </border>
    <border>
      <left style="dotted">
        <color theme="0" tint="-0.499984740745262"/>
      </left>
      <right/>
      <top style="dotted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medium">
        <color indexed="64"/>
      </left>
      <right style="thin">
        <color rgb="FF011B34"/>
      </right>
      <top/>
      <bottom style="medium">
        <color indexed="64"/>
      </bottom>
      <diagonal/>
    </border>
    <border>
      <left style="medium">
        <color indexed="64"/>
      </left>
      <right style="thin">
        <color rgb="FF011B34"/>
      </right>
      <top/>
      <bottom/>
      <diagonal/>
    </border>
    <border>
      <left/>
      <right style="medium">
        <color indexed="64"/>
      </right>
      <top/>
      <bottom style="thin">
        <color rgb="FF011B34"/>
      </bottom>
      <diagonal/>
    </border>
    <border>
      <left/>
      <right/>
      <top/>
      <bottom style="thin">
        <color rgb="FF011B34"/>
      </bottom>
      <diagonal/>
    </border>
    <border>
      <left style="thin">
        <color rgb="FF011B34"/>
      </left>
      <right/>
      <top/>
      <bottom style="thin">
        <color rgb="FF011B3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11B34"/>
      </right>
      <top/>
      <bottom style="thin">
        <color rgb="FF011B34"/>
      </bottom>
      <diagonal/>
    </border>
    <border>
      <left/>
      <right style="thin">
        <color rgb="FF011B34"/>
      </right>
      <top style="thin">
        <color rgb="FF011B34"/>
      </top>
      <bottom/>
      <diagonal/>
    </border>
    <border>
      <left style="thin">
        <color rgb="FF011B34"/>
      </left>
      <right/>
      <top style="thin">
        <color rgb="FF011B3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9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0" borderId="2" applyNumberFormat="0" applyFill="0" applyAlignment="0" applyProtection="0"/>
    <xf numFmtId="0" fontId="7" fillId="7" borderId="3" applyNumberFormat="0" applyAlignment="0" applyProtection="0"/>
    <xf numFmtId="0" fontId="8" fillId="0" borderId="0" applyNumberFormat="0" applyFill="0" applyBorder="0" applyAlignment="0" applyProtection="0"/>
    <xf numFmtId="0" fontId="1" fillId="8" borderId="4" applyNumberFormat="0" applyFont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10" borderId="0" applyNumberFormat="0" applyBorder="0" applyAlignment="0" applyProtection="0"/>
    <xf numFmtId="0" fontId="22" fillId="0" borderId="0"/>
    <xf numFmtId="0" fontId="23" fillId="0" borderId="0"/>
    <xf numFmtId="0" fontId="23" fillId="0" borderId="0"/>
    <xf numFmtId="0" fontId="1" fillId="0" borderId="0"/>
    <xf numFmtId="9" fontId="23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170" fontId="27" fillId="0" borderId="0">
      <alignment vertical="top"/>
    </xf>
    <xf numFmtId="0" fontId="26" fillId="0" borderId="0" applyNumberFormat="0" applyFill="0" applyBorder="0" applyProtection="0">
      <alignment horizontal="right"/>
    </xf>
    <xf numFmtId="170" fontId="28" fillId="0" borderId="0">
      <alignment horizontal="right"/>
    </xf>
    <xf numFmtId="170" fontId="28" fillId="0" borderId="0">
      <alignment horizontal="left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0" fillId="0" borderId="0">
      <protection locked="0"/>
    </xf>
    <xf numFmtId="171" fontId="31" fillId="0" borderId="0"/>
    <xf numFmtId="172" fontId="31" fillId="0" borderId="0"/>
    <xf numFmtId="173" fontId="23" fillId="0" borderId="0" applyFont="0" applyFill="0" applyBorder="0" applyAlignment="0" applyProtection="0"/>
    <xf numFmtId="174" fontId="30" fillId="0" borderId="0">
      <protection locked="0"/>
    </xf>
    <xf numFmtId="175" fontId="23" fillId="0" borderId="0" applyFont="0" applyFill="0" applyBorder="0" applyAlignment="0" applyProtection="0"/>
    <xf numFmtId="4" fontId="32" fillId="0" borderId="0" applyFont="0" applyFill="0" applyBorder="0" applyAlignment="0" applyProtection="0"/>
    <xf numFmtId="176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8" fontId="25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179" fontId="33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3" fillId="0" borderId="0" applyFont="0" applyFill="0" applyBorder="0" applyAlignment="0" applyProtection="0"/>
    <xf numFmtId="180" fontId="30" fillId="0" borderId="0">
      <protection locked="0"/>
    </xf>
    <xf numFmtId="181" fontId="30" fillId="0" borderId="0">
      <protection locked="0"/>
    </xf>
    <xf numFmtId="182" fontId="32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183" fontId="28" fillId="0" borderId="0"/>
    <xf numFmtId="38" fontId="34" fillId="0" borderId="0" applyFont="0" applyFill="0" applyBorder="0" applyAlignment="0" applyProtection="0"/>
    <xf numFmtId="170" fontId="35" fillId="0" borderId="10"/>
    <xf numFmtId="184" fontId="36" fillId="0" borderId="0">
      <protection locked="0"/>
    </xf>
    <xf numFmtId="184" fontId="36" fillId="0" borderId="0">
      <protection locked="0"/>
    </xf>
    <xf numFmtId="0" fontId="23" fillId="0" borderId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1" borderId="0" applyNumberFormat="0" applyBorder="0" applyAlignment="0" applyProtection="0"/>
    <xf numFmtId="0" fontId="37" fillId="24" borderId="0" applyNumberFormat="0" applyBorder="0" applyAlignment="0" applyProtection="0"/>
    <xf numFmtId="0" fontId="37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6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9" fillId="0" borderId="12"/>
    <xf numFmtId="0" fontId="40" fillId="32" borderId="13" applyNumberFormat="0" applyAlignment="0" applyProtection="0"/>
    <xf numFmtId="1" fontId="41" fillId="17" borderId="11">
      <alignment horizontal="right" vertical="center"/>
    </xf>
    <xf numFmtId="0" fontId="41" fillId="16" borderId="11">
      <alignment horizontal="center" vertical="center"/>
    </xf>
    <xf numFmtId="1" fontId="41" fillId="17" borderId="11">
      <alignment horizontal="right" vertical="center"/>
    </xf>
    <xf numFmtId="0" fontId="23" fillId="17" borderId="0"/>
    <xf numFmtId="0" fontId="42" fillId="17" borderId="11"/>
    <xf numFmtId="0" fontId="43" fillId="34" borderId="11">
      <alignment horizontal="left" vertical="center"/>
    </xf>
    <xf numFmtId="0" fontId="43" fillId="34" borderId="11">
      <alignment horizontal="left" vertical="center"/>
    </xf>
    <xf numFmtId="0" fontId="44" fillId="17" borderId="11">
      <alignment horizontal="left" vertical="center"/>
    </xf>
    <xf numFmtId="0" fontId="45" fillId="17" borderId="16"/>
    <xf numFmtId="0" fontId="38" fillId="35" borderId="0" applyNumberFormat="0" applyBorder="0" applyAlignment="0" applyProtection="0"/>
    <xf numFmtId="0" fontId="38" fillId="36" borderId="0" applyNumberFormat="0" applyBorder="0" applyAlignment="0" applyProtection="0"/>
    <xf numFmtId="0" fontId="38" fillId="37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8" borderId="0" applyNumberFormat="0" applyBorder="0" applyAlignment="0" applyProtection="0"/>
    <xf numFmtId="0" fontId="47" fillId="19" borderId="0" applyNumberFormat="0" applyBorder="0" applyAlignment="0" applyProtection="0"/>
    <xf numFmtId="0" fontId="48" fillId="39" borderId="0" applyNumberFormat="0" applyBorder="0" applyAlignment="0" applyProtection="0"/>
    <xf numFmtId="9" fontId="23" fillId="0" borderId="0" applyFont="0" applyFill="0" applyBorder="0" applyAlignment="0" applyProtection="0"/>
    <xf numFmtId="0" fontId="49" fillId="32" borderId="18" applyNumberFormat="0" applyAlignment="0" applyProtection="0"/>
    <xf numFmtId="43" fontId="23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19" applyNumberFormat="0" applyFill="0" applyAlignment="0" applyProtection="0"/>
    <xf numFmtId="0" fontId="54" fillId="0" borderId="20" applyNumberFormat="0" applyFill="0" applyAlignment="0" applyProtection="0"/>
    <xf numFmtId="0" fontId="55" fillId="0" borderId="21" applyNumberFormat="0" applyFill="0" applyAlignment="0" applyProtection="0"/>
    <xf numFmtId="0" fontId="55" fillId="0" borderId="0" applyNumberFormat="0" applyFill="0" applyBorder="0" applyAlignment="0" applyProtection="0"/>
    <xf numFmtId="170" fontId="35" fillId="0" borderId="10"/>
    <xf numFmtId="0" fontId="23" fillId="0" borderId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9" fontId="56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2" fontId="23" fillId="0" borderId="0" applyFont="0" applyFill="0" applyBorder="0" applyProtection="0">
      <alignment horizontal="right"/>
    </xf>
    <xf numFmtId="0" fontId="23" fillId="0" borderId="0"/>
    <xf numFmtId="2" fontId="23" fillId="0" borderId="0" applyFont="0" applyFill="0" applyBorder="0" applyProtection="0">
      <alignment horizontal="right"/>
    </xf>
    <xf numFmtId="0" fontId="23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17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185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185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2" fontId="23" fillId="0" borderId="0" applyFont="0" applyFill="0" applyBorder="0" applyProtection="0">
      <alignment horizontal="right"/>
    </xf>
    <xf numFmtId="2" fontId="23" fillId="0" borderId="0" applyFont="0" applyFill="0" applyBorder="0" applyProtection="0">
      <alignment horizontal="right"/>
    </xf>
    <xf numFmtId="2" fontId="23" fillId="0" borderId="0" applyFont="0" applyFill="0" applyBorder="0" applyProtection="0">
      <alignment horizontal="right"/>
    </xf>
    <xf numFmtId="2" fontId="23" fillId="0" borderId="0" applyFont="0" applyFill="0" applyBorder="0" applyProtection="0">
      <alignment horizontal="right"/>
    </xf>
    <xf numFmtId="2" fontId="23" fillId="0" borderId="0" applyFont="0" applyFill="0" applyBorder="0" applyProtection="0">
      <alignment horizontal="right"/>
    </xf>
    <xf numFmtId="2" fontId="23" fillId="0" borderId="0" applyFont="0" applyFill="0" applyBorder="0" applyProtection="0">
      <alignment horizontal="right"/>
    </xf>
    <xf numFmtId="0" fontId="23" fillId="0" borderId="0"/>
    <xf numFmtId="0" fontId="23" fillId="17" borderId="0"/>
    <xf numFmtId="17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0" fontId="23" fillId="40" borderId="17" applyNumberFormat="0" applyFont="0" applyAlignment="0" applyProtection="0"/>
    <xf numFmtId="2" fontId="23" fillId="0" borderId="0" applyFont="0" applyFill="0" applyBorder="0" applyProtection="0">
      <alignment horizontal="right"/>
    </xf>
    <xf numFmtId="9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3" fillId="17" borderId="0"/>
    <xf numFmtId="17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0" fontId="23" fillId="40" borderId="17" applyNumberFormat="0" applyFont="0" applyAlignment="0" applyProtection="0"/>
    <xf numFmtId="9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0" fontId="23" fillId="0" borderId="0"/>
    <xf numFmtId="2" fontId="23" fillId="0" borderId="0" applyFont="0" applyFill="0" applyBorder="0" applyProtection="0">
      <alignment horizontal="right"/>
    </xf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9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9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0" fontId="23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9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9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0" fontId="23" fillId="0" borderId="0"/>
    <xf numFmtId="9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79" fillId="18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79" fillId="19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79" fillId="2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2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79" fillId="2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5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79" fillId="2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79" fillId="21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79" fillId="24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79" fillId="27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80" fillId="28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80" fillId="25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80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80" fillId="30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61" fillId="22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80" fillId="31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61" fillId="2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80" fillId="35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61" fillId="41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80" fillId="36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61" fillId="38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80" fillId="3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80" fillId="2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61" fillId="9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10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80" fillId="38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81" fillId="19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66" fillId="0" borderId="22"/>
    <xf numFmtId="0" fontId="28" fillId="0" borderId="0">
      <alignment horizontal="left"/>
    </xf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63" fillId="32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70" fillId="6" borderId="1" applyNumberFormat="0" applyAlignment="0" applyProtection="0"/>
    <xf numFmtId="0" fontId="59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82" fillId="7" borderId="14" applyNumberFormat="0" applyAlignment="0" applyProtection="0"/>
    <xf numFmtId="0" fontId="23" fillId="17" borderId="0"/>
    <xf numFmtId="0" fontId="23" fillId="17" borderId="0"/>
    <xf numFmtId="0" fontId="23" fillId="17" borderId="0"/>
    <xf numFmtId="0" fontId="23" fillId="17" borderId="0"/>
    <xf numFmtId="0" fontId="23" fillId="17" borderId="0"/>
    <xf numFmtId="0" fontId="23" fillId="17" borderId="0"/>
    <xf numFmtId="43" fontId="29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84" fillId="20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7" fillId="22" borderId="0" applyNumberFormat="0" applyBorder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72" fillId="0" borderId="23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73" fillId="0" borderId="24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6" fillId="23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75" fillId="39" borderId="1" applyNumberFormat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3" fillId="40" borderId="17" applyNumberFormat="0" applyFont="0" applyAlignment="0" applyProtection="0"/>
    <xf numFmtId="0" fontId="23" fillId="40" borderId="17" applyNumberFormat="0" applyFont="0" applyAlignment="0" applyProtection="0"/>
    <xf numFmtId="0" fontId="23" fillId="40" borderId="17" applyNumberFormat="0" applyFont="0" applyAlignment="0" applyProtection="0"/>
    <xf numFmtId="0" fontId="23" fillId="40" borderId="17" applyNumberFormat="0" applyFont="0" applyAlignment="0" applyProtection="0"/>
    <xf numFmtId="0" fontId="23" fillId="40" borderId="17" applyNumberFormat="0" applyFont="0" applyAlignment="0" applyProtection="0"/>
    <xf numFmtId="0" fontId="23" fillId="40" borderId="17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62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56" fillId="40" borderId="4" applyNumberFormat="0" applyFon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8" fillId="32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0" fontId="77" fillId="6" borderId="18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2" fontId="23" fillId="0" borderId="0" applyFont="0" applyFill="0" applyBorder="0" applyProtection="0">
      <alignment horizontal="right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85" fillId="0" borderId="27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62" fillId="18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24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24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24" borderId="0" applyNumberFormat="0" applyBorder="0" applyAlignment="0" applyProtection="0"/>
    <xf numFmtId="0" fontId="62" fillId="42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62" fillId="19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56" fillId="25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56" fillId="25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56" fillId="25" borderId="0" applyNumberFormat="0" applyBorder="0" applyAlignment="0" applyProtection="0"/>
    <xf numFmtId="0" fontId="62" fillId="43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62" fillId="40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23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23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23" borderId="0" applyNumberFormat="0" applyBorder="0" applyAlignment="0" applyProtection="0"/>
    <xf numFmtId="0" fontId="62" fillId="44" borderId="0" applyNumberFormat="0" applyBorder="0" applyAlignment="0" applyProtection="0"/>
    <xf numFmtId="0" fontId="56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2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2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2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22" borderId="0" applyNumberFormat="0" applyBorder="0" applyAlignment="0" applyProtection="0"/>
    <xf numFmtId="0" fontId="56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62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62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40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40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40" borderId="0" applyNumberFormat="0" applyBorder="0" applyAlignment="0" applyProtection="0"/>
    <xf numFmtId="0" fontId="62" fillId="23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2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2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22" borderId="0" applyNumberFormat="0" applyBorder="0" applyAlignment="0" applyProtection="0"/>
    <xf numFmtId="0" fontId="62" fillId="42" borderId="0" applyNumberFormat="0" applyBorder="0" applyAlignment="0" applyProtection="0"/>
    <xf numFmtId="0" fontId="56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25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25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25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25" borderId="0" applyNumberFormat="0" applyBorder="0" applyAlignment="0" applyProtection="0"/>
    <xf numFmtId="0" fontId="56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62" fillId="43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56" fillId="43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62" fillId="26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39" borderId="0" applyNumberFormat="0" applyBorder="0" applyAlignment="0" applyProtection="0"/>
    <xf numFmtId="0" fontId="62" fillId="40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62" fillId="21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19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19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19" borderId="0" applyNumberFormat="0" applyBorder="0" applyAlignment="0" applyProtection="0"/>
    <xf numFmtId="0" fontId="62" fillId="32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62" fillId="24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2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2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42" borderId="0" applyNumberFormat="0" applyBorder="0" applyAlignment="0" applyProtection="0"/>
    <xf numFmtId="0" fontId="56" fillId="22" borderId="0" applyNumberFormat="0" applyBorder="0" applyAlignment="0" applyProtection="0"/>
    <xf numFmtId="0" fontId="62" fillId="42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62" fillId="27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40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40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23" borderId="0" applyNumberFormat="0" applyBorder="0" applyAlignment="0" applyProtection="0"/>
    <xf numFmtId="0" fontId="56" fillId="40" borderId="0" applyNumberFormat="0" applyBorder="0" applyAlignment="0" applyProtection="0"/>
    <xf numFmtId="0" fontId="62" fillId="23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8" fillId="28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7" fillId="22" borderId="0" applyNumberFormat="0" applyBorder="0" applyAlignment="0" applyProtection="0"/>
    <xf numFmtId="0" fontId="88" fillId="22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8" fillId="25" borderId="0" applyNumberFormat="0" applyBorder="0" applyAlignment="0" applyProtection="0"/>
    <xf numFmtId="0" fontId="87" fillId="38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38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38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8" fillId="43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8" fillId="26" borderId="0" applyNumberFormat="0" applyBorder="0" applyAlignment="0" applyProtection="0"/>
    <xf numFmtId="0" fontId="87" fillId="27" borderId="0" applyNumberFormat="0" applyBorder="0" applyAlignment="0" applyProtection="0"/>
    <xf numFmtId="0" fontId="87" fillId="40" borderId="0" applyNumberFormat="0" applyBorder="0" applyAlignment="0" applyProtection="0"/>
    <xf numFmtId="0" fontId="87" fillId="40" borderId="0" applyNumberFormat="0" applyBorder="0" applyAlignment="0" applyProtection="0"/>
    <xf numFmtId="0" fontId="87" fillId="40" borderId="0" applyNumberFormat="0" applyBorder="0" applyAlignment="0" applyProtection="0"/>
    <xf numFmtId="0" fontId="87" fillId="40" borderId="0" applyNumberFormat="0" applyBorder="0" applyAlignment="0" applyProtection="0"/>
    <xf numFmtId="0" fontId="87" fillId="40" borderId="0" applyNumberFormat="0" applyBorder="0" applyAlignment="0" applyProtection="0"/>
    <xf numFmtId="0" fontId="87" fillId="27" borderId="0" applyNumberFormat="0" applyBorder="0" applyAlignment="0" applyProtection="0"/>
    <xf numFmtId="0" fontId="87" fillId="40" borderId="0" applyNumberFormat="0" applyBorder="0" applyAlignment="0" applyProtection="0"/>
    <xf numFmtId="0" fontId="87" fillId="40" borderId="0" applyNumberFormat="0" applyBorder="0" applyAlignment="0" applyProtection="0"/>
    <xf numFmtId="0" fontId="87" fillId="40" borderId="0" applyNumberFormat="0" applyBorder="0" applyAlignment="0" applyProtection="0"/>
    <xf numFmtId="0" fontId="87" fillId="40" borderId="0" applyNumberFormat="0" applyBorder="0" applyAlignment="0" applyProtection="0"/>
    <xf numFmtId="0" fontId="87" fillId="40" borderId="0" applyNumberFormat="0" applyBorder="0" applyAlignment="0" applyProtection="0"/>
    <xf numFmtId="0" fontId="87" fillId="27" borderId="0" applyNumberFormat="0" applyBorder="0" applyAlignment="0" applyProtection="0"/>
    <xf numFmtId="0" fontId="87" fillId="40" borderId="0" applyNumberFormat="0" applyBorder="0" applyAlignment="0" applyProtection="0"/>
    <xf numFmtId="0" fontId="87" fillId="40" borderId="0" applyNumberFormat="0" applyBorder="0" applyAlignment="0" applyProtection="0"/>
    <xf numFmtId="0" fontId="87" fillId="40" borderId="0" applyNumberFormat="0" applyBorder="0" applyAlignment="0" applyProtection="0"/>
    <xf numFmtId="0" fontId="87" fillId="40" borderId="0" applyNumberFormat="0" applyBorder="0" applyAlignment="0" applyProtection="0"/>
    <xf numFmtId="0" fontId="87" fillId="40" borderId="0" applyNumberFormat="0" applyBorder="0" applyAlignment="0" applyProtection="0"/>
    <xf numFmtId="0" fontId="88" fillId="40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7" fillId="19" borderId="0" applyNumberFormat="0" applyBorder="0" applyAlignment="0" applyProtection="0"/>
    <xf numFmtId="0" fontId="87" fillId="32" borderId="0" applyNumberFormat="0" applyBorder="0" applyAlignment="0" applyProtection="0"/>
    <xf numFmtId="0" fontId="87" fillId="32" borderId="0" applyNumberFormat="0" applyBorder="0" applyAlignment="0" applyProtection="0"/>
    <xf numFmtId="0" fontId="87" fillId="32" borderId="0" applyNumberFormat="0" applyBorder="0" applyAlignment="0" applyProtection="0"/>
    <xf numFmtId="0" fontId="87" fillId="32" borderId="0" applyNumberFormat="0" applyBorder="0" applyAlignment="0" applyProtection="0"/>
    <xf numFmtId="0" fontId="87" fillId="32" borderId="0" applyNumberFormat="0" applyBorder="0" applyAlignment="0" applyProtection="0"/>
    <xf numFmtId="0" fontId="87" fillId="19" borderId="0" applyNumberFormat="0" applyBorder="0" applyAlignment="0" applyProtection="0"/>
    <xf numFmtId="0" fontId="87" fillId="32" borderId="0" applyNumberFormat="0" applyBorder="0" applyAlignment="0" applyProtection="0"/>
    <xf numFmtId="0" fontId="87" fillId="32" borderId="0" applyNumberFormat="0" applyBorder="0" applyAlignment="0" applyProtection="0"/>
    <xf numFmtId="0" fontId="87" fillId="32" borderId="0" applyNumberFormat="0" applyBorder="0" applyAlignment="0" applyProtection="0"/>
    <xf numFmtId="0" fontId="87" fillId="32" borderId="0" applyNumberFormat="0" applyBorder="0" applyAlignment="0" applyProtection="0"/>
    <xf numFmtId="0" fontId="87" fillId="32" borderId="0" applyNumberFormat="0" applyBorder="0" applyAlignment="0" applyProtection="0"/>
    <xf numFmtId="0" fontId="87" fillId="19" borderId="0" applyNumberFormat="0" applyBorder="0" applyAlignment="0" applyProtection="0"/>
    <xf numFmtId="0" fontId="87" fillId="32" borderId="0" applyNumberFormat="0" applyBorder="0" applyAlignment="0" applyProtection="0"/>
    <xf numFmtId="0" fontId="87" fillId="32" borderId="0" applyNumberFormat="0" applyBorder="0" applyAlignment="0" applyProtection="0"/>
    <xf numFmtId="0" fontId="87" fillId="32" borderId="0" applyNumberFormat="0" applyBorder="0" applyAlignment="0" applyProtection="0"/>
    <xf numFmtId="0" fontId="87" fillId="32" borderId="0" applyNumberFormat="0" applyBorder="0" applyAlignment="0" applyProtection="0"/>
    <xf numFmtId="0" fontId="87" fillId="32" borderId="0" applyNumberFormat="0" applyBorder="0" applyAlignment="0" applyProtection="0"/>
    <xf numFmtId="0" fontId="88" fillId="32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7" fillId="22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22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22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8" fillId="31" borderId="0" applyNumberFormat="0" applyBorder="0" applyAlignment="0" applyProtection="0"/>
    <xf numFmtId="0" fontId="87" fillId="25" borderId="0" applyNumberFormat="0" applyBorder="0" applyAlignment="0" applyProtection="0"/>
    <xf numFmtId="0" fontId="87" fillId="23" borderId="0" applyNumberFormat="0" applyBorder="0" applyAlignment="0" applyProtection="0"/>
    <xf numFmtId="0" fontId="87" fillId="23" borderId="0" applyNumberFormat="0" applyBorder="0" applyAlignment="0" applyProtection="0"/>
    <xf numFmtId="0" fontId="87" fillId="23" borderId="0" applyNumberFormat="0" applyBorder="0" applyAlignment="0" applyProtection="0"/>
    <xf numFmtId="0" fontId="87" fillId="23" borderId="0" applyNumberFormat="0" applyBorder="0" applyAlignment="0" applyProtection="0"/>
    <xf numFmtId="0" fontId="87" fillId="23" borderId="0" applyNumberFormat="0" applyBorder="0" applyAlignment="0" applyProtection="0"/>
    <xf numFmtId="0" fontId="87" fillId="25" borderId="0" applyNumberFormat="0" applyBorder="0" applyAlignment="0" applyProtection="0"/>
    <xf numFmtId="0" fontId="87" fillId="23" borderId="0" applyNumberFormat="0" applyBorder="0" applyAlignment="0" applyProtection="0"/>
    <xf numFmtId="0" fontId="87" fillId="23" borderId="0" applyNumberFormat="0" applyBorder="0" applyAlignment="0" applyProtection="0"/>
    <xf numFmtId="0" fontId="87" fillId="23" borderId="0" applyNumberFormat="0" applyBorder="0" applyAlignment="0" applyProtection="0"/>
    <xf numFmtId="0" fontId="87" fillId="23" borderId="0" applyNumberFormat="0" applyBorder="0" applyAlignment="0" applyProtection="0"/>
    <xf numFmtId="0" fontId="87" fillId="23" borderId="0" applyNumberFormat="0" applyBorder="0" applyAlignment="0" applyProtection="0"/>
    <xf numFmtId="0" fontId="87" fillId="25" borderId="0" applyNumberFormat="0" applyBorder="0" applyAlignment="0" applyProtection="0"/>
    <xf numFmtId="0" fontId="87" fillId="23" borderId="0" applyNumberFormat="0" applyBorder="0" applyAlignment="0" applyProtection="0"/>
    <xf numFmtId="0" fontId="87" fillId="23" borderId="0" applyNumberFormat="0" applyBorder="0" applyAlignment="0" applyProtection="0"/>
    <xf numFmtId="0" fontId="87" fillId="23" borderId="0" applyNumberFormat="0" applyBorder="0" applyAlignment="0" applyProtection="0"/>
    <xf numFmtId="0" fontId="87" fillId="23" borderId="0" applyNumberFormat="0" applyBorder="0" applyAlignment="0" applyProtection="0"/>
    <xf numFmtId="0" fontId="87" fillId="23" borderId="0" applyNumberFormat="0" applyBorder="0" applyAlignment="0" applyProtection="0"/>
    <xf numFmtId="0" fontId="88" fillId="23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8" fillId="35" borderId="0" applyNumberFormat="0" applyBorder="0" applyAlignment="0" applyProtection="0"/>
    <xf numFmtId="0" fontId="87" fillId="41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41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41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7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8" fillId="36" borderId="0" applyNumberFormat="0" applyBorder="0" applyAlignment="0" applyProtection="0"/>
    <xf numFmtId="0" fontId="87" fillId="38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38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38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7" fillId="43" borderId="0" applyNumberFormat="0" applyBorder="0" applyAlignment="0" applyProtection="0"/>
    <xf numFmtId="0" fontId="88" fillId="43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8" fillId="37" borderId="0" applyNumberFormat="0" applyBorder="0" applyAlignment="0" applyProtection="0"/>
    <xf numFmtId="0" fontId="87" fillId="27" borderId="0" applyNumberFormat="0" applyBorder="0" applyAlignment="0" applyProtection="0"/>
    <xf numFmtId="0" fontId="87" fillId="45" borderId="0" applyNumberFormat="0" applyBorder="0" applyAlignment="0" applyProtection="0"/>
    <xf numFmtId="0" fontId="87" fillId="45" borderId="0" applyNumberFormat="0" applyBorder="0" applyAlignment="0" applyProtection="0"/>
    <xf numFmtId="0" fontId="87" fillId="45" borderId="0" applyNumberFormat="0" applyBorder="0" applyAlignment="0" applyProtection="0"/>
    <xf numFmtId="0" fontId="87" fillId="45" borderId="0" applyNumberFormat="0" applyBorder="0" applyAlignment="0" applyProtection="0"/>
    <xf numFmtId="0" fontId="87" fillId="45" borderId="0" applyNumberFormat="0" applyBorder="0" applyAlignment="0" applyProtection="0"/>
    <xf numFmtId="0" fontId="87" fillId="27" borderId="0" applyNumberFormat="0" applyBorder="0" applyAlignment="0" applyProtection="0"/>
    <xf numFmtId="0" fontId="87" fillId="45" borderId="0" applyNumberFormat="0" applyBorder="0" applyAlignment="0" applyProtection="0"/>
    <xf numFmtId="0" fontId="87" fillId="45" borderId="0" applyNumberFormat="0" applyBorder="0" applyAlignment="0" applyProtection="0"/>
    <xf numFmtId="0" fontId="87" fillId="45" borderId="0" applyNumberFormat="0" applyBorder="0" applyAlignment="0" applyProtection="0"/>
    <xf numFmtId="0" fontId="87" fillId="45" borderId="0" applyNumberFormat="0" applyBorder="0" applyAlignment="0" applyProtection="0"/>
    <xf numFmtId="0" fontId="87" fillId="45" borderId="0" applyNumberFormat="0" applyBorder="0" applyAlignment="0" applyProtection="0"/>
    <xf numFmtId="0" fontId="87" fillId="27" borderId="0" applyNumberFormat="0" applyBorder="0" applyAlignment="0" applyProtection="0"/>
    <xf numFmtId="0" fontId="87" fillId="45" borderId="0" applyNumberFormat="0" applyBorder="0" applyAlignment="0" applyProtection="0"/>
    <xf numFmtId="0" fontId="87" fillId="45" borderId="0" applyNumberFormat="0" applyBorder="0" applyAlignment="0" applyProtection="0"/>
    <xf numFmtId="0" fontId="87" fillId="45" borderId="0" applyNumberFormat="0" applyBorder="0" applyAlignment="0" applyProtection="0"/>
    <xf numFmtId="0" fontId="87" fillId="45" borderId="0" applyNumberFormat="0" applyBorder="0" applyAlignment="0" applyProtection="0"/>
    <xf numFmtId="0" fontId="87" fillId="45" borderId="0" applyNumberFormat="0" applyBorder="0" applyAlignment="0" applyProtection="0"/>
    <xf numFmtId="0" fontId="88" fillId="45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8" fillId="29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7" fillId="46" borderId="0" applyNumberFormat="0" applyBorder="0" applyAlignment="0" applyProtection="0"/>
    <xf numFmtId="0" fontId="88" fillId="46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0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8" fillId="38" borderId="0" applyNumberFormat="0" applyBorder="0" applyAlignment="0" applyProtection="0"/>
    <xf numFmtId="0" fontId="87" fillId="36" borderId="0" applyNumberFormat="0" applyBorder="0" applyAlignment="0" applyProtection="0"/>
    <xf numFmtId="0" fontId="87" fillId="38" borderId="0" applyNumberFormat="0" applyBorder="0" applyAlignment="0" applyProtection="0"/>
    <xf numFmtId="0" fontId="87" fillId="38" borderId="0" applyNumberFormat="0" applyBorder="0" applyAlignment="0" applyProtection="0"/>
    <xf numFmtId="0" fontId="87" fillId="38" borderId="0" applyNumberFormat="0" applyBorder="0" applyAlignment="0" applyProtection="0"/>
    <xf numFmtId="0" fontId="87" fillId="38" borderId="0" applyNumberFormat="0" applyBorder="0" applyAlignment="0" applyProtection="0"/>
    <xf numFmtId="0" fontId="87" fillId="38" borderId="0" applyNumberFormat="0" applyBorder="0" applyAlignment="0" applyProtection="0"/>
    <xf numFmtId="0" fontId="87" fillId="36" borderId="0" applyNumberFormat="0" applyBorder="0" applyAlignment="0" applyProtection="0"/>
    <xf numFmtId="0" fontId="87" fillId="38" borderId="0" applyNumberFormat="0" applyBorder="0" applyAlignment="0" applyProtection="0"/>
    <xf numFmtId="0" fontId="87" fillId="38" borderId="0" applyNumberFormat="0" applyBorder="0" applyAlignment="0" applyProtection="0"/>
    <xf numFmtId="0" fontId="87" fillId="38" borderId="0" applyNumberFormat="0" applyBorder="0" applyAlignment="0" applyProtection="0"/>
    <xf numFmtId="0" fontId="87" fillId="38" borderId="0" applyNumberFormat="0" applyBorder="0" applyAlignment="0" applyProtection="0"/>
    <xf numFmtId="0" fontId="87" fillId="38" borderId="0" applyNumberFormat="0" applyBorder="0" applyAlignment="0" applyProtection="0"/>
    <xf numFmtId="0" fontId="87" fillId="36" borderId="0" applyNumberFormat="0" applyBorder="0" applyAlignment="0" applyProtection="0"/>
    <xf numFmtId="0" fontId="87" fillId="38" borderId="0" applyNumberFormat="0" applyBorder="0" applyAlignment="0" applyProtection="0"/>
    <xf numFmtId="0" fontId="87" fillId="38" borderId="0" applyNumberFormat="0" applyBorder="0" applyAlignment="0" applyProtection="0"/>
    <xf numFmtId="0" fontId="87" fillId="38" borderId="0" applyNumberFormat="0" applyBorder="0" applyAlignment="0" applyProtection="0"/>
    <xf numFmtId="0" fontId="87" fillId="38" borderId="0" applyNumberFormat="0" applyBorder="0" applyAlignment="0" applyProtection="0"/>
    <xf numFmtId="0" fontId="87" fillId="38" borderId="0" applyNumberFormat="0" applyBorder="0" applyAlignment="0" applyProtection="0"/>
    <xf numFmtId="0" fontId="88" fillId="38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90" fillId="19" borderId="0" applyNumberFormat="0" applyBorder="0" applyAlignment="0" applyProtection="0"/>
    <xf numFmtId="0" fontId="89" fillId="21" borderId="0" applyNumberFormat="0" applyBorder="0" applyAlignment="0" applyProtection="0"/>
    <xf numFmtId="0" fontId="89" fillId="19" borderId="0" applyNumberFormat="0" applyBorder="0" applyAlignment="0" applyProtection="0"/>
    <xf numFmtId="0" fontId="89" fillId="19" borderId="0" applyNumberFormat="0" applyBorder="0" applyAlignment="0" applyProtection="0"/>
    <xf numFmtId="0" fontId="89" fillId="19" borderId="0" applyNumberFormat="0" applyBorder="0" applyAlignment="0" applyProtection="0"/>
    <xf numFmtId="0" fontId="89" fillId="19" borderId="0" applyNumberFormat="0" applyBorder="0" applyAlignment="0" applyProtection="0"/>
    <xf numFmtId="0" fontId="89" fillId="19" borderId="0" applyNumberFormat="0" applyBorder="0" applyAlignment="0" applyProtection="0"/>
    <xf numFmtId="0" fontId="89" fillId="21" borderId="0" applyNumberFormat="0" applyBorder="0" applyAlignment="0" applyProtection="0"/>
    <xf numFmtId="0" fontId="89" fillId="19" borderId="0" applyNumberFormat="0" applyBorder="0" applyAlignment="0" applyProtection="0"/>
    <xf numFmtId="0" fontId="89" fillId="19" borderId="0" applyNumberFormat="0" applyBorder="0" applyAlignment="0" applyProtection="0"/>
    <xf numFmtId="0" fontId="89" fillId="19" borderId="0" applyNumberFormat="0" applyBorder="0" applyAlignment="0" applyProtection="0"/>
    <xf numFmtId="0" fontId="89" fillId="19" borderId="0" applyNumberFormat="0" applyBorder="0" applyAlignment="0" applyProtection="0"/>
    <xf numFmtId="0" fontId="89" fillId="19" borderId="0" applyNumberFormat="0" applyBorder="0" applyAlignment="0" applyProtection="0"/>
    <xf numFmtId="0" fontId="89" fillId="21" borderId="0" applyNumberFormat="0" applyBorder="0" applyAlignment="0" applyProtection="0"/>
    <xf numFmtId="0" fontId="89" fillId="19" borderId="0" applyNumberFormat="0" applyBorder="0" applyAlignment="0" applyProtection="0"/>
    <xf numFmtId="0" fontId="89" fillId="19" borderId="0" applyNumberFormat="0" applyBorder="0" applyAlignment="0" applyProtection="0"/>
    <xf numFmtId="0" fontId="89" fillId="19" borderId="0" applyNumberFormat="0" applyBorder="0" applyAlignment="0" applyProtection="0"/>
    <xf numFmtId="0" fontId="89" fillId="19" borderId="0" applyNumberFormat="0" applyBorder="0" applyAlignment="0" applyProtection="0"/>
    <xf numFmtId="0" fontId="89" fillId="19" borderId="0" applyNumberFormat="0" applyBorder="0" applyAlignment="0" applyProtection="0"/>
    <xf numFmtId="0" fontId="90" fillId="19" borderId="0" applyNumberFormat="0" applyBorder="0" applyAlignment="0" applyProtection="0"/>
    <xf numFmtId="0" fontId="66" fillId="0" borderId="22"/>
    <xf numFmtId="0" fontId="28" fillId="0" borderId="0">
      <alignment horizontal="left"/>
    </xf>
    <xf numFmtId="3" fontId="30" fillId="0" borderId="0">
      <protection locked="0"/>
    </xf>
    <xf numFmtId="3" fontId="30" fillId="0" borderId="0">
      <protection locked="0"/>
    </xf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63" fillId="32" borderId="13" applyNumberFormat="0" applyAlignment="0" applyProtection="0"/>
    <xf numFmtId="0" fontId="70" fillId="44" borderId="13" applyNumberFormat="0" applyAlignment="0" applyProtection="0"/>
    <xf numFmtId="0" fontId="93" fillId="44" borderId="13" applyNumberFormat="0" applyAlignment="0" applyProtection="0"/>
    <xf numFmtId="0" fontId="93" fillId="44" borderId="13" applyNumberFormat="0" applyAlignment="0" applyProtection="0"/>
    <xf numFmtId="0" fontId="93" fillId="44" borderId="13" applyNumberFormat="0" applyAlignment="0" applyProtection="0"/>
    <xf numFmtId="0" fontId="93" fillId="44" borderId="13" applyNumberFormat="0" applyAlignment="0" applyProtection="0"/>
    <xf numFmtId="0" fontId="93" fillId="44" borderId="13" applyNumberFormat="0" applyAlignment="0" applyProtection="0"/>
    <xf numFmtId="0" fontId="70" fillId="44" borderId="13" applyNumberFormat="0" applyAlignment="0" applyProtection="0"/>
    <xf numFmtId="0" fontId="93" fillId="44" borderId="13" applyNumberFormat="0" applyAlignment="0" applyProtection="0"/>
    <xf numFmtId="0" fontId="93" fillId="44" borderId="13" applyNumberFormat="0" applyAlignment="0" applyProtection="0"/>
    <xf numFmtId="0" fontId="93" fillId="44" borderId="13" applyNumberFormat="0" applyAlignment="0" applyProtection="0"/>
    <xf numFmtId="0" fontId="93" fillId="44" borderId="13" applyNumberFormat="0" applyAlignment="0" applyProtection="0"/>
    <xf numFmtId="0" fontId="93" fillId="44" borderId="13" applyNumberFormat="0" applyAlignment="0" applyProtection="0"/>
    <xf numFmtId="0" fontId="70" fillId="44" borderId="13" applyNumberFormat="0" applyAlignment="0" applyProtection="0"/>
    <xf numFmtId="0" fontId="93" fillId="44" borderId="13" applyNumberFormat="0" applyAlignment="0" applyProtection="0"/>
    <xf numFmtId="0" fontId="93" fillId="44" borderId="13" applyNumberFormat="0" applyAlignment="0" applyProtection="0"/>
    <xf numFmtId="0" fontId="93" fillId="44" borderId="13" applyNumberFormat="0" applyAlignment="0" applyProtection="0"/>
    <xf numFmtId="0" fontId="93" fillId="44" borderId="13" applyNumberFormat="0" applyAlignment="0" applyProtection="0"/>
    <xf numFmtId="0" fontId="93" fillId="44" borderId="13" applyNumberFormat="0" applyAlignment="0" applyProtection="0"/>
    <xf numFmtId="0" fontId="63" fillId="44" borderId="13" applyNumberFormat="0" applyAlignment="0" applyProtection="0"/>
    <xf numFmtId="0" fontId="94" fillId="0" borderId="0">
      <alignment vertical="center"/>
    </xf>
    <xf numFmtId="0" fontId="95" fillId="33" borderId="29" applyNumberFormat="0" applyAlignment="0" applyProtection="0"/>
    <xf numFmtId="0" fontId="96" fillId="33" borderId="14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6" fillId="33" borderId="14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6" fillId="33" borderId="14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6" fillId="33" borderId="14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5" fillId="33" borderId="29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6" fillId="33" borderId="29" applyNumberFormat="0" applyAlignment="0" applyProtection="0"/>
    <xf numFmtId="0" fontId="95" fillId="33" borderId="29" applyNumberFormat="0" applyAlignment="0" applyProtection="0"/>
    <xf numFmtId="0" fontId="95" fillId="33" borderId="29" applyNumberFormat="0" applyAlignment="0" applyProtection="0"/>
    <xf numFmtId="0" fontId="95" fillId="33" borderId="29" applyNumberFormat="0" applyAlignment="0" applyProtection="0"/>
    <xf numFmtId="0" fontId="23" fillId="17" borderId="0"/>
    <xf numFmtId="0" fontId="23" fillId="17" borderId="0"/>
    <xf numFmtId="0" fontId="23" fillId="17" borderId="0"/>
    <xf numFmtId="0" fontId="23" fillId="17" borderId="0"/>
    <xf numFmtId="0" fontId="23" fillId="17" borderId="0"/>
    <xf numFmtId="0" fontId="23" fillId="17" borderId="0"/>
    <xf numFmtId="0" fontId="23" fillId="17" borderId="0"/>
    <xf numFmtId="0" fontId="23" fillId="17" borderId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5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2" fontId="23" fillId="0" borderId="0" applyFont="0" applyFill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100" fillId="20" borderId="0" applyNumberFormat="0" applyBorder="0" applyAlignment="0" applyProtection="0"/>
    <xf numFmtId="0" fontId="99" fillId="22" borderId="0" applyNumberFormat="0" applyBorder="0" applyAlignment="0" applyProtection="0"/>
    <xf numFmtId="0" fontId="99" fillId="20" borderId="0" applyNumberFormat="0" applyBorder="0" applyAlignment="0" applyProtection="0"/>
    <xf numFmtId="0" fontId="99" fillId="20" borderId="0" applyNumberFormat="0" applyBorder="0" applyAlignment="0" applyProtection="0"/>
    <xf numFmtId="0" fontId="99" fillId="20" borderId="0" applyNumberFormat="0" applyBorder="0" applyAlignment="0" applyProtection="0"/>
    <xf numFmtId="0" fontId="99" fillId="20" borderId="0" applyNumberFormat="0" applyBorder="0" applyAlignment="0" applyProtection="0"/>
    <xf numFmtId="0" fontId="99" fillId="20" borderId="0" applyNumberFormat="0" applyBorder="0" applyAlignment="0" applyProtection="0"/>
    <xf numFmtId="0" fontId="99" fillId="22" borderId="0" applyNumberFormat="0" applyBorder="0" applyAlignment="0" applyProtection="0"/>
    <xf numFmtId="0" fontId="99" fillId="20" borderId="0" applyNumberFormat="0" applyBorder="0" applyAlignment="0" applyProtection="0"/>
    <xf numFmtId="0" fontId="99" fillId="20" borderId="0" applyNumberFormat="0" applyBorder="0" applyAlignment="0" applyProtection="0"/>
    <xf numFmtId="0" fontId="99" fillId="20" borderId="0" applyNumberFormat="0" applyBorder="0" applyAlignment="0" applyProtection="0"/>
    <xf numFmtId="0" fontId="99" fillId="20" borderId="0" applyNumberFormat="0" applyBorder="0" applyAlignment="0" applyProtection="0"/>
    <xf numFmtId="0" fontId="99" fillId="20" borderId="0" applyNumberFormat="0" applyBorder="0" applyAlignment="0" applyProtection="0"/>
    <xf numFmtId="0" fontId="99" fillId="22" borderId="0" applyNumberFormat="0" applyBorder="0" applyAlignment="0" applyProtection="0"/>
    <xf numFmtId="0" fontId="99" fillId="20" borderId="0" applyNumberFormat="0" applyBorder="0" applyAlignment="0" applyProtection="0"/>
    <xf numFmtId="0" fontId="99" fillId="20" borderId="0" applyNumberFormat="0" applyBorder="0" applyAlignment="0" applyProtection="0"/>
    <xf numFmtId="0" fontId="99" fillId="20" borderId="0" applyNumberFormat="0" applyBorder="0" applyAlignment="0" applyProtection="0"/>
    <xf numFmtId="0" fontId="99" fillId="20" borderId="0" applyNumberFormat="0" applyBorder="0" applyAlignment="0" applyProtection="0"/>
    <xf numFmtId="0" fontId="99" fillId="20" borderId="0" applyNumberFormat="0" applyBorder="0" applyAlignment="0" applyProtection="0"/>
    <xf numFmtId="0" fontId="100" fillId="20" borderId="0" applyNumberFormat="0" applyBorder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101" fillId="0" borderId="30" applyNumberFormat="0" applyFill="0" applyAlignment="0" applyProtection="0"/>
    <xf numFmtId="0" fontId="101" fillId="0" borderId="30" applyNumberFormat="0" applyFill="0" applyAlignment="0" applyProtection="0"/>
    <xf numFmtId="0" fontId="101" fillId="0" borderId="30" applyNumberFormat="0" applyFill="0" applyAlignment="0" applyProtection="0"/>
    <xf numFmtId="0" fontId="101" fillId="0" borderId="30" applyNumberFormat="0" applyFill="0" applyAlignment="0" applyProtection="0"/>
    <xf numFmtId="0" fontId="101" fillId="0" borderId="30" applyNumberFormat="0" applyFill="0" applyAlignment="0" applyProtection="0"/>
    <xf numFmtId="0" fontId="101" fillId="0" borderId="30" applyNumberFormat="0" applyFill="0" applyAlignment="0" applyProtection="0"/>
    <xf numFmtId="0" fontId="101" fillId="0" borderId="30" applyNumberFormat="0" applyFill="0" applyAlignment="0" applyProtection="0"/>
    <xf numFmtId="0" fontId="101" fillId="0" borderId="30" applyNumberFormat="0" applyFill="0" applyAlignment="0" applyProtection="0"/>
    <xf numFmtId="0" fontId="101" fillId="0" borderId="30" applyNumberFormat="0" applyFill="0" applyAlignment="0" applyProtection="0"/>
    <xf numFmtId="0" fontId="101" fillId="0" borderId="30" applyNumberFormat="0" applyFill="0" applyAlignment="0" applyProtection="0"/>
    <xf numFmtId="0" fontId="101" fillId="0" borderId="30" applyNumberFormat="0" applyFill="0" applyAlignment="0" applyProtection="0"/>
    <xf numFmtId="0" fontId="101" fillId="0" borderId="30" applyNumberFormat="0" applyFill="0" applyAlignment="0" applyProtection="0"/>
    <xf numFmtId="0" fontId="101" fillId="0" borderId="30" applyNumberFormat="0" applyFill="0" applyAlignment="0" applyProtection="0"/>
    <xf numFmtId="0" fontId="101" fillId="0" borderId="30" applyNumberFormat="0" applyFill="0" applyAlignment="0" applyProtection="0"/>
    <xf numFmtId="0" fontId="101" fillId="0" borderId="30" applyNumberFormat="0" applyFill="0" applyAlignment="0" applyProtection="0"/>
    <xf numFmtId="0" fontId="102" fillId="0" borderId="3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54" fillId="0" borderId="20" applyNumberFormat="0" applyFill="0" applyAlignment="0" applyProtection="0"/>
    <xf numFmtId="0" fontId="103" fillId="0" borderId="31" applyNumberFormat="0" applyFill="0" applyAlignment="0" applyProtection="0"/>
    <xf numFmtId="0" fontId="103" fillId="0" borderId="31" applyNumberFormat="0" applyFill="0" applyAlignment="0" applyProtection="0"/>
    <xf numFmtId="0" fontId="103" fillId="0" borderId="31" applyNumberFormat="0" applyFill="0" applyAlignment="0" applyProtection="0"/>
    <xf numFmtId="0" fontId="103" fillId="0" borderId="31" applyNumberFormat="0" applyFill="0" applyAlignment="0" applyProtection="0"/>
    <xf numFmtId="0" fontId="103" fillId="0" borderId="31" applyNumberFormat="0" applyFill="0" applyAlignment="0" applyProtection="0"/>
    <xf numFmtId="0" fontId="103" fillId="0" borderId="31" applyNumberFormat="0" applyFill="0" applyAlignment="0" applyProtection="0"/>
    <xf numFmtId="0" fontId="103" fillId="0" borderId="31" applyNumberFormat="0" applyFill="0" applyAlignment="0" applyProtection="0"/>
    <xf numFmtId="0" fontId="103" fillId="0" borderId="31" applyNumberFormat="0" applyFill="0" applyAlignment="0" applyProtection="0"/>
    <xf numFmtId="0" fontId="103" fillId="0" borderId="31" applyNumberFormat="0" applyFill="0" applyAlignment="0" applyProtection="0"/>
    <xf numFmtId="0" fontId="103" fillId="0" borderId="31" applyNumberFormat="0" applyFill="0" applyAlignment="0" applyProtection="0"/>
    <xf numFmtId="0" fontId="103" fillId="0" borderId="31" applyNumberFormat="0" applyFill="0" applyAlignment="0" applyProtection="0"/>
    <xf numFmtId="0" fontId="103" fillId="0" borderId="31" applyNumberFormat="0" applyFill="0" applyAlignment="0" applyProtection="0"/>
    <xf numFmtId="0" fontId="103" fillId="0" borderId="31" applyNumberFormat="0" applyFill="0" applyAlignment="0" applyProtection="0"/>
    <xf numFmtId="0" fontId="103" fillId="0" borderId="31" applyNumberFormat="0" applyFill="0" applyAlignment="0" applyProtection="0"/>
    <xf numFmtId="0" fontId="103" fillId="0" borderId="31" applyNumberFormat="0" applyFill="0" applyAlignment="0" applyProtection="0"/>
    <xf numFmtId="0" fontId="104" fillId="0" borderId="3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105" fillId="0" borderId="25" applyNumberFormat="0" applyFill="0" applyAlignment="0" applyProtection="0"/>
    <xf numFmtId="0" fontId="105" fillId="0" borderId="25" applyNumberFormat="0" applyFill="0" applyAlignment="0" applyProtection="0"/>
    <xf numFmtId="0" fontId="105" fillId="0" borderId="25" applyNumberFormat="0" applyFill="0" applyAlignment="0" applyProtection="0"/>
    <xf numFmtId="0" fontId="105" fillId="0" borderId="25" applyNumberFormat="0" applyFill="0" applyAlignment="0" applyProtection="0"/>
    <xf numFmtId="0" fontId="105" fillId="0" borderId="25" applyNumberFormat="0" applyFill="0" applyAlignment="0" applyProtection="0"/>
    <xf numFmtId="0" fontId="105" fillId="0" borderId="25" applyNumberFormat="0" applyFill="0" applyAlignment="0" applyProtection="0"/>
    <xf numFmtId="0" fontId="105" fillId="0" borderId="25" applyNumberFormat="0" applyFill="0" applyAlignment="0" applyProtection="0"/>
    <xf numFmtId="0" fontId="105" fillId="0" borderId="25" applyNumberFormat="0" applyFill="0" applyAlignment="0" applyProtection="0"/>
    <xf numFmtId="0" fontId="105" fillId="0" borderId="25" applyNumberFormat="0" applyFill="0" applyAlignment="0" applyProtection="0"/>
    <xf numFmtId="0" fontId="105" fillId="0" borderId="25" applyNumberFormat="0" applyFill="0" applyAlignment="0" applyProtection="0"/>
    <xf numFmtId="0" fontId="105" fillId="0" borderId="25" applyNumberFormat="0" applyFill="0" applyAlignment="0" applyProtection="0"/>
    <xf numFmtId="0" fontId="105" fillId="0" borderId="25" applyNumberFormat="0" applyFill="0" applyAlignment="0" applyProtection="0"/>
    <xf numFmtId="0" fontId="105" fillId="0" borderId="25" applyNumberFormat="0" applyFill="0" applyAlignment="0" applyProtection="0"/>
    <xf numFmtId="0" fontId="105" fillId="0" borderId="25" applyNumberFormat="0" applyFill="0" applyAlignment="0" applyProtection="0"/>
    <xf numFmtId="0" fontId="105" fillId="0" borderId="25" applyNumberFormat="0" applyFill="0" applyAlignment="0" applyProtection="0"/>
    <xf numFmtId="0" fontId="106" fillId="0" borderId="25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76" fillId="23" borderId="13" applyNumberFormat="0" applyAlignment="0" applyProtection="0"/>
    <xf numFmtId="0" fontId="107" fillId="23" borderId="13" applyNumberFormat="0" applyAlignment="0" applyProtection="0"/>
    <xf numFmtId="0" fontId="107" fillId="23" borderId="13" applyNumberFormat="0" applyAlignment="0" applyProtection="0"/>
    <xf numFmtId="0" fontId="107" fillId="23" borderId="13" applyNumberFormat="0" applyAlignment="0" applyProtection="0"/>
    <xf numFmtId="0" fontId="107" fillId="23" borderId="13" applyNumberFormat="0" applyAlignment="0" applyProtection="0"/>
    <xf numFmtId="0" fontId="107" fillId="23" borderId="13" applyNumberFormat="0" applyAlignment="0" applyProtection="0"/>
    <xf numFmtId="0" fontId="76" fillId="23" borderId="13" applyNumberFormat="0" applyAlignment="0" applyProtection="0"/>
    <xf numFmtId="0" fontId="107" fillId="23" borderId="13" applyNumberFormat="0" applyAlignment="0" applyProtection="0"/>
    <xf numFmtId="0" fontId="107" fillId="23" borderId="13" applyNumberFormat="0" applyAlignment="0" applyProtection="0"/>
    <xf numFmtId="0" fontId="107" fillId="23" borderId="13" applyNumberFormat="0" applyAlignment="0" applyProtection="0"/>
    <xf numFmtId="0" fontId="107" fillId="23" borderId="13" applyNumberFormat="0" applyAlignment="0" applyProtection="0"/>
    <xf numFmtId="0" fontId="107" fillId="23" borderId="13" applyNumberFormat="0" applyAlignment="0" applyProtection="0"/>
    <xf numFmtId="0" fontId="76" fillId="23" borderId="13" applyNumberFormat="0" applyAlignment="0" applyProtection="0"/>
    <xf numFmtId="0" fontId="107" fillId="23" borderId="13" applyNumberFormat="0" applyAlignment="0" applyProtection="0"/>
    <xf numFmtId="0" fontId="107" fillId="23" borderId="13" applyNumberFormat="0" applyAlignment="0" applyProtection="0"/>
    <xf numFmtId="0" fontId="107" fillId="23" borderId="13" applyNumberFormat="0" applyAlignment="0" applyProtection="0"/>
    <xf numFmtId="0" fontId="107" fillId="23" borderId="13" applyNumberFormat="0" applyAlignment="0" applyProtection="0"/>
    <xf numFmtId="0" fontId="107" fillId="23" borderId="13" applyNumberFormat="0" applyAlignment="0" applyProtection="0"/>
    <xf numFmtId="0" fontId="76" fillId="23" borderId="13" applyNumberFormat="0" applyAlignment="0" applyProtection="0"/>
    <xf numFmtId="0" fontId="107" fillId="23" borderId="13" applyNumberFormat="0" applyAlignment="0" applyProtection="0"/>
    <xf numFmtId="0" fontId="107" fillId="23" borderId="13" applyNumberFormat="0" applyAlignment="0" applyProtection="0"/>
    <xf numFmtId="0" fontId="107" fillId="23" borderId="13" applyNumberFormat="0" applyAlignment="0" applyProtection="0"/>
    <xf numFmtId="0" fontId="107" fillId="23" borderId="13" applyNumberFormat="0" applyAlignment="0" applyProtection="0"/>
    <xf numFmtId="0" fontId="107" fillId="23" borderId="13" applyNumberFormat="0" applyAlignment="0" applyProtection="0"/>
    <xf numFmtId="0" fontId="75" fillId="39" borderId="13" applyNumberFormat="0" applyAlignment="0" applyProtection="0"/>
    <xf numFmtId="0" fontId="108" fillId="23" borderId="13" applyNumberFormat="0" applyAlignment="0" applyProtection="0"/>
    <xf numFmtId="0" fontId="108" fillId="23" borderId="13" applyNumberFormat="0" applyAlignment="0" applyProtection="0"/>
    <xf numFmtId="0" fontId="108" fillId="23" borderId="13" applyNumberFormat="0" applyAlignment="0" applyProtection="0"/>
    <xf numFmtId="0" fontId="108" fillId="23" borderId="13" applyNumberFormat="0" applyAlignment="0" applyProtection="0"/>
    <xf numFmtId="0" fontId="108" fillId="23" borderId="13" applyNumberFormat="0" applyAlignment="0" applyProtection="0"/>
    <xf numFmtId="0" fontId="75" fillId="39" borderId="13" applyNumberFormat="0" applyAlignment="0" applyProtection="0"/>
    <xf numFmtId="0" fontId="108" fillId="23" borderId="13" applyNumberFormat="0" applyAlignment="0" applyProtection="0"/>
    <xf numFmtId="0" fontId="108" fillId="23" borderId="13" applyNumberFormat="0" applyAlignment="0" applyProtection="0"/>
    <xf numFmtId="0" fontId="108" fillId="23" borderId="13" applyNumberFormat="0" applyAlignment="0" applyProtection="0"/>
    <xf numFmtId="0" fontId="108" fillId="23" borderId="13" applyNumberFormat="0" applyAlignment="0" applyProtection="0"/>
    <xf numFmtId="0" fontId="108" fillId="23" borderId="13" applyNumberFormat="0" applyAlignment="0" applyProtection="0"/>
    <xf numFmtId="0" fontId="75" fillId="39" borderId="13" applyNumberFormat="0" applyAlignment="0" applyProtection="0"/>
    <xf numFmtId="0" fontId="108" fillId="23" borderId="13" applyNumberFormat="0" applyAlignment="0" applyProtection="0"/>
    <xf numFmtId="0" fontId="108" fillId="23" borderId="13" applyNumberFormat="0" applyAlignment="0" applyProtection="0"/>
    <xf numFmtId="0" fontId="108" fillId="23" borderId="13" applyNumberFormat="0" applyAlignment="0" applyProtection="0"/>
    <xf numFmtId="0" fontId="108" fillId="23" borderId="13" applyNumberFormat="0" applyAlignment="0" applyProtection="0"/>
    <xf numFmtId="0" fontId="108" fillId="23" borderId="13" applyNumberFormat="0" applyAlignment="0" applyProtection="0"/>
    <xf numFmtId="0" fontId="107" fillId="23" borderId="13" applyNumberFormat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109" fillId="0" borderId="15" applyNumberFormat="0" applyFill="0" applyAlignment="0" applyProtection="0"/>
    <xf numFmtId="0" fontId="109" fillId="0" borderId="15" applyNumberFormat="0" applyFill="0" applyAlignment="0" applyProtection="0"/>
    <xf numFmtId="0" fontId="109" fillId="0" borderId="15" applyNumberFormat="0" applyFill="0" applyAlignment="0" applyProtection="0"/>
    <xf numFmtId="0" fontId="109" fillId="0" borderId="15" applyNumberFormat="0" applyFill="0" applyAlignment="0" applyProtection="0"/>
    <xf numFmtId="0" fontId="109" fillId="0" borderId="15" applyNumberFormat="0" applyFill="0" applyAlignment="0" applyProtection="0"/>
    <xf numFmtId="0" fontId="109" fillId="0" borderId="15" applyNumberFormat="0" applyFill="0" applyAlignment="0" applyProtection="0"/>
    <xf numFmtId="0" fontId="109" fillId="0" borderId="15" applyNumberFormat="0" applyFill="0" applyAlignment="0" applyProtection="0"/>
    <xf numFmtId="0" fontId="109" fillId="0" borderId="15" applyNumberFormat="0" applyFill="0" applyAlignment="0" applyProtection="0"/>
    <xf numFmtId="0" fontId="109" fillId="0" borderId="15" applyNumberFormat="0" applyFill="0" applyAlignment="0" applyProtection="0"/>
    <xf numFmtId="0" fontId="109" fillId="0" borderId="15" applyNumberFormat="0" applyFill="0" applyAlignment="0" applyProtection="0"/>
    <xf numFmtId="0" fontId="109" fillId="0" borderId="15" applyNumberFormat="0" applyFill="0" applyAlignment="0" applyProtection="0"/>
    <xf numFmtId="0" fontId="109" fillId="0" borderId="15" applyNumberFormat="0" applyFill="0" applyAlignment="0" applyProtection="0"/>
    <xf numFmtId="0" fontId="109" fillId="0" borderId="15" applyNumberFormat="0" applyFill="0" applyAlignment="0" applyProtection="0"/>
    <xf numFmtId="0" fontId="109" fillId="0" borderId="15" applyNumberFormat="0" applyFill="0" applyAlignment="0" applyProtection="0"/>
    <xf numFmtId="0" fontId="109" fillId="0" borderId="15" applyNumberFormat="0" applyFill="0" applyAlignment="0" applyProtection="0"/>
    <xf numFmtId="0" fontId="64" fillId="0" borderId="15" applyNumberFormat="0" applyFill="0" applyAlignment="0" applyProtection="0"/>
    <xf numFmtId="186" fontId="23" fillId="0" borderId="0" applyFont="0" applyFill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65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110" fillId="3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56" fillId="0" borderId="0"/>
    <xf numFmtId="0" fontId="56" fillId="0" borderId="0"/>
    <xf numFmtId="0" fontId="23" fillId="0" borderId="0"/>
    <xf numFmtId="0" fontId="23" fillId="0" borderId="0"/>
    <xf numFmtId="0" fontId="5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3" fillId="40" borderId="17" applyNumberFormat="0" applyFont="0" applyAlignment="0" applyProtection="0"/>
    <xf numFmtId="0" fontId="23" fillId="40" borderId="17" applyNumberFormat="0" applyFont="0" applyAlignment="0" applyProtection="0"/>
    <xf numFmtId="0" fontId="23" fillId="40" borderId="17" applyNumberFormat="0" applyFont="0" applyAlignment="0" applyProtection="0"/>
    <xf numFmtId="0" fontId="23" fillId="40" borderId="17" applyNumberFormat="0" applyFont="0" applyAlignment="0" applyProtection="0"/>
    <xf numFmtId="0" fontId="23" fillId="40" borderId="17" applyNumberFormat="0" applyFont="0" applyAlignment="0" applyProtection="0"/>
    <xf numFmtId="0" fontId="23" fillId="40" borderId="17" applyNumberFormat="0" applyFont="0" applyAlignment="0" applyProtection="0"/>
    <xf numFmtId="0" fontId="23" fillId="40" borderId="17" applyNumberFormat="0" applyFont="0" applyAlignment="0" applyProtection="0"/>
    <xf numFmtId="0" fontId="23" fillId="40" borderId="17" applyNumberFormat="0" applyFont="0" applyAlignment="0" applyProtection="0"/>
    <xf numFmtId="0" fontId="62" fillId="40" borderId="17" applyNumberFormat="0" applyFont="0" applyAlignment="0" applyProtection="0"/>
    <xf numFmtId="0" fontId="62" fillId="39" borderId="17" applyNumberFormat="0" applyFont="0" applyAlignment="0" applyProtection="0"/>
    <xf numFmtId="0" fontId="62" fillId="39" borderId="17" applyNumberFormat="0" applyFont="0" applyAlignment="0" applyProtection="0"/>
    <xf numFmtId="0" fontId="62" fillId="39" borderId="17" applyNumberFormat="0" applyFont="0" applyAlignment="0" applyProtection="0"/>
    <xf numFmtId="0" fontId="62" fillId="39" borderId="17" applyNumberFormat="0" applyFont="0" applyAlignment="0" applyProtection="0"/>
    <xf numFmtId="0" fontId="62" fillId="39" borderId="17" applyNumberFormat="0" applyFont="0" applyAlignment="0" applyProtection="0"/>
    <xf numFmtId="0" fontId="62" fillId="40" borderId="17" applyNumberFormat="0" applyFont="0" applyAlignment="0" applyProtection="0"/>
    <xf numFmtId="0" fontId="62" fillId="39" borderId="17" applyNumberFormat="0" applyFont="0" applyAlignment="0" applyProtection="0"/>
    <xf numFmtId="0" fontId="62" fillId="39" borderId="17" applyNumberFormat="0" applyFont="0" applyAlignment="0" applyProtection="0"/>
    <xf numFmtId="0" fontId="62" fillId="39" borderId="17" applyNumberFormat="0" applyFont="0" applyAlignment="0" applyProtection="0"/>
    <xf numFmtId="0" fontId="62" fillId="39" borderId="17" applyNumberFormat="0" applyFont="0" applyAlignment="0" applyProtection="0"/>
    <xf numFmtId="0" fontId="62" fillId="39" borderId="17" applyNumberFormat="0" applyFont="0" applyAlignment="0" applyProtection="0"/>
    <xf numFmtId="0" fontId="62" fillId="40" borderId="17" applyNumberFormat="0" applyFont="0" applyAlignment="0" applyProtection="0"/>
    <xf numFmtId="0" fontId="62" fillId="39" borderId="17" applyNumberFormat="0" applyFont="0" applyAlignment="0" applyProtection="0"/>
    <xf numFmtId="0" fontId="62" fillId="39" borderId="17" applyNumberFormat="0" applyFont="0" applyAlignment="0" applyProtection="0"/>
    <xf numFmtId="0" fontId="62" fillId="39" borderId="17" applyNumberFormat="0" applyFont="0" applyAlignment="0" applyProtection="0"/>
    <xf numFmtId="0" fontId="62" fillId="39" borderId="17" applyNumberFormat="0" applyFont="0" applyAlignment="0" applyProtection="0"/>
    <xf numFmtId="0" fontId="62" fillId="39" borderId="17" applyNumberFormat="0" applyFont="0" applyAlignment="0" applyProtection="0"/>
    <xf numFmtId="0" fontId="62" fillId="40" borderId="17" applyNumberFormat="0" applyFont="0" applyAlignment="0" applyProtection="0"/>
    <xf numFmtId="0" fontId="62" fillId="39" borderId="17" applyNumberFormat="0" applyFont="0" applyAlignment="0" applyProtection="0"/>
    <xf numFmtId="0" fontId="62" fillId="39" borderId="17" applyNumberFormat="0" applyFont="0" applyAlignment="0" applyProtection="0"/>
    <xf numFmtId="0" fontId="62" fillId="39" borderId="17" applyNumberFormat="0" applyFont="0" applyAlignment="0" applyProtection="0"/>
    <xf numFmtId="0" fontId="62" fillId="39" borderId="17" applyNumberFormat="0" applyFont="0" applyAlignment="0" applyProtection="0"/>
    <xf numFmtId="0" fontId="62" fillId="39" borderId="17" applyNumberFormat="0" applyFont="0" applyAlignment="0" applyProtection="0"/>
    <xf numFmtId="0" fontId="56" fillId="40" borderId="17" applyNumberFormat="0" applyFont="0" applyAlignment="0" applyProtection="0"/>
    <xf numFmtId="0" fontId="56" fillId="39" borderId="17" applyNumberFormat="0" applyFont="0" applyAlignment="0" applyProtection="0"/>
    <xf numFmtId="0" fontId="56" fillId="39" borderId="17" applyNumberFormat="0" applyFont="0" applyAlignment="0" applyProtection="0"/>
    <xf numFmtId="0" fontId="56" fillId="39" borderId="17" applyNumberFormat="0" applyFont="0" applyAlignment="0" applyProtection="0"/>
    <xf numFmtId="0" fontId="56" fillId="39" borderId="17" applyNumberFormat="0" applyFont="0" applyAlignment="0" applyProtection="0"/>
    <xf numFmtId="0" fontId="56" fillId="39" borderId="17" applyNumberFormat="0" applyFont="0" applyAlignment="0" applyProtection="0"/>
    <xf numFmtId="0" fontId="56" fillId="40" borderId="17" applyNumberFormat="0" applyFont="0" applyAlignment="0" applyProtection="0"/>
    <xf numFmtId="0" fontId="56" fillId="39" borderId="17" applyNumberFormat="0" applyFont="0" applyAlignment="0" applyProtection="0"/>
    <xf numFmtId="0" fontId="56" fillId="39" borderId="17" applyNumberFormat="0" applyFont="0" applyAlignment="0" applyProtection="0"/>
    <xf numFmtId="0" fontId="56" fillId="39" borderId="17" applyNumberFormat="0" applyFont="0" applyAlignment="0" applyProtection="0"/>
    <xf numFmtId="0" fontId="56" fillId="39" borderId="17" applyNumberFormat="0" applyFont="0" applyAlignment="0" applyProtection="0"/>
    <xf numFmtId="0" fontId="56" fillId="39" borderId="17" applyNumberFormat="0" applyFont="0" applyAlignment="0" applyProtection="0"/>
    <xf numFmtId="0" fontId="56" fillId="40" borderId="17" applyNumberFormat="0" applyFont="0" applyAlignment="0" applyProtection="0"/>
    <xf numFmtId="0" fontId="56" fillId="39" borderId="17" applyNumberFormat="0" applyFont="0" applyAlignment="0" applyProtection="0"/>
    <xf numFmtId="0" fontId="56" fillId="39" borderId="17" applyNumberFormat="0" applyFont="0" applyAlignment="0" applyProtection="0"/>
    <xf numFmtId="0" fontId="56" fillId="39" borderId="17" applyNumberFormat="0" applyFont="0" applyAlignment="0" applyProtection="0"/>
    <xf numFmtId="0" fontId="56" fillId="39" borderId="17" applyNumberFormat="0" applyFont="0" applyAlignment="0" applyProtection="0"/>
    <xf numFmtId="0" fontId="56" fillId="39" borderId="17" applyNumberFormat="0" applyFont="0" applyAlignment="0" applyProtection="0"/>
    <xf numFmtId="0" fontId="62" fillId="39" borderId="17" applyNumberFormat="0" applyFont="0" applyAlignment="0" applyProtection="0"/>
    <xf numFmtId="0" fontId="78" fillId="32" borderId="18" applyNumberFormat="0" applyAlignment="0" applyProtection="0"/>
    <xf numFmtId="0" fontId="111" fillId="32" borderId="32" applyNumberFormat="0" applyAlignment="0" applyProtection="0"/>
    <xf numFmtId="0" fontId="111" fillId="32" borderId="32" applyNumberFormat="0" applyAlignment="0" applyProtection="0"/>
    <xf numFmtId="0" fontId="111" fillId="32" borderId="32" applyNumberFormat="0" applyAlignment="0" applyProtection="0"/>
    <xf numFmtId="0" fontId="111" fillId="32" borderId="32" applyNumberFormat="0" applyAlignment="0" applyProtection="0"/>
    <xf numFmtId="0" fontId="111" fillId="32" borderId="32" applyNumberFormat="0" applyAlignment="0" applyProtection="0"/>
    <xf numFmtId="0" fontId="78" fillId="32" borderId="18" applyNumberFormat="0" applyAlignment="0" applyProtection="0"/>
    <xf numFmtId="0" fontId="111" fillId="32" borderId="32" applyNumberFormat="0" applyAlignment="0" applyProtection="0"/>
    <xf numFmtId="0" fontId="111" fillId="32" borderId="32" applyNumberFormat="0" applyAlignment="0" applyProtection="0"/>
    <xf numFmtId="0" fontId="111" fillId="32" borderId="32" applyNumberFormat="0" applyAlignment="0" applyProtection="0"/>
    <xf numFmtId="0" fontId="111" fillId="32" borderId="32" applyNumberFormat="0" applyAlignment="0" applyProtection="0"/>
    <xf numFmtId="0" fontId="111" fillId="32" borderId="32" applyNumberFormat="0" applyAlignment="0" applyProtection="0"/>
    <xf numFmtId="0" fontId="78" fillId="32" borderId="18" applyNumberFormat="0" applyAlignment="0" applyProtection="0"/>
    <xf numFmtId="0" fontId="111" fillId="32" borderId="32" applyNumberFormat="0" applyAlignment="0" applyProtection="0"/>
    <xf numFmtId="0" fontId="111" fillId="32" borderId="32" applyNumberFormat="0" applyAlignment="0" applyProtection="0"/>
    <xf numFmtId="0" fontId="111" fillId="32" borderId="32" applyNumberFormat="0" applyAlignment="0" applyProtection="0"/>
    <xf numFmtId="0" fontId="111" fillId="32" borderId="32" applyNumberFormat="0" applyAlignment="0" applyProtection="0"/>
    <xf numFmtId="0" fontId="111" fillId="32" borderId="32" applyNumberFormat="0" applyAlignment="0" applyProtection="0"/>
    <xf numFmtId="0" fontId="78" fillId="32" borderId="18" applyNumberFormat="0" applyAlignment="0" applyProtection="0"/>
    <xf numFmtId="0" fontId="111" fillId="32" borderId="32" applyNumberFormat="0" applyAlignment="0" applyProtection="0"/>
    <xf numFmtId="0" fontId="111" fillId="32" borderId="32" applyNumberFormat="0" applyAlignment="0" applyProtection="0"/>
    <xf numFmtId="0" fontId="111" fillId="32" borderId="32" applyNumberFormat="0" applyAlignment="0" applyProtection="0"/>
    <xf numFmtId="0" fontId="111" fillId="32" borderId="32" applyNumberFormat="0" applyAlignment="0" applyProtection="0"/>
    <xf numFmtId="0" fontId="111" fillId="32" borderId="32" applyNumberFormat="0" applyAlignment="0" applyProtection="0"/>
    <xf numFmtId="0" fontId="77" fillId="44" borderId="18" applyNumberFormat="0" applyAlignment="0" applyProtection="0"/>
    <xf numFmtId="0" fontId="112" fillId="44" borderId="32" applyNumberFormat="0" applyAlignment="0" applyProtection="0"/>
    <xf numFmtId="0" fontId="112" fillId="44" borderId="32" applyNumberFormat="0" applyAlignment="0" applyProtection="0"/>
    <xf numFmtId="0" fontId="112" fillId="44" borderId="32" applyNumberFormat="0" applyAlignment="0" applyProtection="0"/>
    <xf numFmtId="0" fontId="112" fillId="44" borderId="32" applyNumberFormat="0" applyAlignment="0" applyProtection="0"/>
    <xf numFmtId="0" fontId="112" fillId="44" borderId="32" applyNumberFormat="0" applyAlignment="0" applyProtection="0"/>
    <xf numFmtId="0" fontId="77" fillId="44" borderId="18" applyNumberFormat="0" applyAlignment="0" applyProtection="0"/>
    <xf numFmtId="0" fontId="112" fillId="44" borderId="32" applyNumberFormat="0" applyAlignment="0" applyProtection="0"/>
    <xf numFmtId="0" fontId="112" fillId="44" borderId="32" applyNumberFormat="0" applyAlignment="0" applyProtection="0"/>
    <xf numFmtId="0" fontId="112" fillId="44" borderId="32" applyNumberFormat="0" applyAlignment="0" applyProtection="0"/>
    <xf numFmtId="0" fontId="112" fillId="44" borderId="32" applyNumberFormat="0" applyAlignment="0" applyProtection="0"/>
    <xf numFmtId="0" fontId="112" fillId="44" borderId="32" applyNumberFormat="0" applyAlignment="0" applyProtection="0"/>
    <xf numFmtId="0" fontId="77" fillId="44" borderId="18" applyNumberFormat="0" applyAlignment="0" applyProtection="0"/>
    <xf numFmtId="0" fontId="112" fillId="44" borderId="32" applyNumberFormat="0" applyAlignment="0" applyProtection="0"/>
    <xf numFmtId="0" fontId="112" fillId="44" borderId="32" applyNumberFormat="0" applyAlignment="0" applyProtection="0"/>
    <xf numFmtId="0" fontId="112" fillId="44" borderId="32" applyNumberFormat="0" applyAlignment="0" applyProtection="0"/>
    <xf numFmtId="0" fontId="112" fillId="44" borderId="32" applyNumberFormat="0" applyAlignment="0" applyProtection="0"/>
    <xf numFmtId="0" fontId="112" fillId="44" borderId="32" applyNumberFormat="0" applyAlignment="0" applyProtection="0"/>
    <xf numFmtId="0" fontId="111" fillId="44" borderId="32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38" fontId="34" fillId="0" borderId="33"/>
    <xf numFmtId="187" fontId="23" fillId="0" borderId="0">
      <protection locked="0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1" fillId="0" borderId="34" applyNumberFormat="0" applyFill="0" applyAlignment="0" applyProtection="0"/>
    <xf numFmtId="0" fontId="112" fillId="0" borderId="36" applyNumberFormat="0" applyFill="0" applyAlignment="0" applyProtection="0"/>
    <xf numFmtId="0" fontId="112" fillId="0" borderId="36" applyNumberFormat="0" applyFill="0" applyAlignment="0" applyProtection="0"/>
    <xf numFmtId="0" fontId="112" fillId="0" borderId="36" applyNumberFormat="0" applyFill="0" applyAlignment="0" applyProtection="0"/>
    <xf numFmtId="0" fontId="112" fillId="0" borderId="36" applyNumberFormat="0" applyFill="0" applyAlignment="0" applyProtection="0"/>
    <xf numFmtId="0" fontId="112" fillId="0" borderId="36" applyNumberFormat="0" applyFill="0" applyAlignment="0" applyProtection="0"/>
    <xf numFmtId="0" fontId="112" fillId="0" borderId="35" applyNumberFormat="0" applyFill="0" applyAlignment="0" applyProtection="0"/>
    <xf numFmtId="0" fontId="112" fillId="0" borderId="36" applyNumberFormat="0" applyFill="0" applyAlignment="0" applyProtection="0"/>
    <xf numFmtId="0" fontId="112" fillId="0" borderId="36" applyNumberFormat="0" applyFill="0" applyAlignment="0" applyProtection="0"/>
    <xf numFmtId="0" fontId="112" fillId="0" borderId="36" applyNumberFormat="0" applyFill="0" applyAlignment="0" applyProtection="0"/>
    <xf numFmtId="0" fontId="112" fillId="0" borderId="36" applyNumberFormat="0" applyFill="0" applyAlignment="0" applyProtection="0"/>
    <xf numFmtId="0" fontId="112" fillId="0" borderId="36" applyNumberFormat="0" applyFill="0" applyAlignment="0" applyProtection="0"/>
    <xf numFmtId="0" fontId="112" fillId="0" borderId="35" applyNumberFormat="0" applyFill="0" applyAlignment="0" applyProtection="0"/>
    <xf numFmtId="0" fontId="112" fillId="0" borderId="36" applyNumberFormat="0" applyFill="0" applyAlignment="0" applyProtection="0"/>
    <xf numFmtId="0" fontId="112" fillId="0" borderId="36" applyNumberFormat="0" applyFill="0" applyAlignment="0" applyProtection="0"/>
    <xf numFmtId="0" fontId="112" fillId="0" borderId="36" applyNumberFormat="0" applyFill="0" applyAlignment="0" applyProtection="0"/>
    <xf numFmtId="0" fontId="112" fillId="0" borderId="36" applyNumberFormat="0" applyFill="0" applyAlignment="0" applyProtection="0"/>
    <xf numFmtId="0" fontId="112" fillId="0" borderId="36" applyNumberFormat="0" applyFill="0" applyAlignment="0" applyProtection="0"/>
    <xf numFmtId="0" fontId="112" fillId="0" borderId="35" applyNumberFormat="0" applyFill="0" applyAlignment="0" applyProtection="0"/>
    <xf numFmtId="0" fontId="111" fillId="0" borderId="36" applyNumberFormat="0" applyFill="0" applyAlignment="0" applyProtection="0"/>
    <xf numFmtId="181" fontId="30" fillId="0" borderId="0">
      <protection locked="0"/>
    </xf>
    <xf numFmtId="188" fontId="23" fillId="0" borderId="0">
      <protection locked="0"/>
    </xf>
    <xf numFmtId="0" fontId="114" fillId="0" borderId="0"/>
    <xf numFmtId="4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29" fillId="0" borderId="0"/>
    <xf numFmtId="0" fontId="23" fillId="40" borderId="49" applyNumberFormat="0" applyFont="0" applyAlignment="0" applyProtection="0"/>
    <xf numFmtId="170" fontId="35" fillId="0" borderId="37"/>
    <xf numFmtId="0" fontId="40" fillId="32" borderId="39" applyNumberFormat="0" applyAlignment="0" applyProtection="0"/>
    <xf numFmtId="1" fontId="41" fillId="17" borderId="38">
      <alignment horizontal="right" vertical="center"/>
    </xf>
    <xf numFmtId="0" fontId="41" fillId="16" borderId="38">
      <alignment horizontal="center" vertical="center"/>
    </xf>
    <xf numFmtId="1" fontId="41" fillId="17" borderId="38">
      <alignment horizontal="right" vertical="center"/>
    </xf>
    <xf numFmtId="0" fontId="42" fillId="17" borderId="38"/>
    <xf numFmtId="0" fontId="43" fillId="34" borderId="38">
      <alignment horizontal="left" vertical="center"/>
    </xf>
    <xf numFmtId="0" fontId="43" fillId="34" borderId="38">
      <alignment horizontal="left" vertical="center"/>
    </xf>
    <xf numFmtId="0" fontId="44" fillId="17" borderId="38">
      <alignment horizontal="left" vertical="center"/>
    </xf>
    <xf numFmtId="0" fontId="38" fillId="30" borderId="0" applyNumberFormat="0" applyBorder="0" applyAlignment="0" applyProtection="0"/>
    <xf numFmtId="0" fontId="46" fillId="23" borderId="39" applyNumberFormat="0" applyAlignment="0" applyProtection="0"/>
    <xf numFmtId="0" fontId="23" fillId="40" borderId="40" applyNumberFormat="0" applyFont="0" applyAlignment="0" applyProtection="0"/>
    <xf numFmtId="0" fontId="49" fillId="32" borderId="41" applyNumberFormat="0" applyAlignment="0" applyProtection="0"/>
    <xf numFmtId="0" fontId="51" fillId="0" borderId="0" applyNumberFormat="0" applyFill="0" applyBorder="0" applyAlignment="0" applyProtection="0"/>
    <xf numFmtId="0" fontId="43" fillId="34" borderId="47">
      <alignment horizontal="left" vertical="center"/>
    </xf>
    <xf numFmtId="0" fontId="42" fillId="17" borderId="47"/>
    <xf numFmtId="1" fontId="41" fillId="17" borderId="47">
      <alignment horizontal="right" vertical="center"/>
    </xf>
    <xf numFmtId="0" fontId="41" fillId="16" borderId="47">
      <alignment horizontal="center" vertical="center"/>
    </xf>
    <xf numFmtId="0" fontId="23" fillId="40" borderId="49" applyNumberFormat="0" applyFont="0" applyAlignment="0" applyProtection="0"/>
    <xf numFmtId="0" fontId="23" fillId="40" borderId="40" applyNumberFormat="0" applyFont="0" applyAlignment="0" applyProtection="0"/>
    <xf numFmtId="0" fontId="23" fillId="40" borderId="40" applyNumberFormat="0" applyFon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23" fillId="40" borderId="40" applyNumberFormat="0" applyFont="0" applyAlignment="0" applyProtection="0"/>
    <xf numFmtId="0" fontId="23" fillId="40" borderId="40" applyNumberFormat="0" applyFont="0" applyAlignment="0" applyProtection="0"/>
    <xf numFmtId="0" fontId="23" fillId="40" borderId="40" applyNumberFormat="0" applyFont="0" applyAlignment="0" applyProtection="0"/>
    <xf numFmtId="0" fontId="23" fillId="40" borderId="40" applyNumberFormat="0" applyFont="0" applyAlignment="0" applyProtection="0"/>
    <xf numFmtId="0" fontId="23" fillId="40" borderId="40" applyNumberFormat="0" applyFont="0" applyAlignment="0" applyProtection="0"/>
    <xf numFmtId="0" fontId="23" fillId="40" borderId="40" applyNumberFormat="0" applyFon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8" fillId="32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0" fontId="77" fillId="6" borderId="41" applyNumberFormat="0" applyAlignment="0" applyProtection="0"/>
    <xf numFmtId="44" fontId="1" fillId="0" borderId="0" applyFont="0" applyFill="0" applyBorder="0" applyAlignment="0" applyProtection="0"/>
    <xf numFmtId="0" fontId="46" fillId="23" borderId="48" applyNumberFormat="0" applyAlignment="0" applyProtection="0"/>
    <xf numFmtId="0" fontId="38" fillId="30" borderId="0" applyNumberFormat="0" applyBorder="0" applyAlignment="0" applyProtection="0"/>
    <xf numFmtId="1" fontId="41" fillId="17" borderId="47">
      <alignment horizontal="right" vertical="center"/>
    </xf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3" applyNumberFormat="0" applyFill="0" applyAlignment="0" applyProtection="0"/>
    <xf numFmtId="170" fontId="35" fillId="0" borderId="46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63" fillId="32" borderId="39" applyNumberFormat="0" applyAlignment="0" applyProtection="0"/>
    <xf numFmtId="0" fontId="93" fillId="44" borderId="39" applyNumberFormat="0" applyAlignment="0" applyProtection="0"/>
    <xf numFmtId="0" fontId="93" fillId="44" borderId="39" applyNumberFormat="0" applyAlignment="0" applyProtection="0"/>
    <xf numFmtId="0" fontId="93" fillId="44" borderId="39" applyNumberFormat="0" applyAlignment="0" applyProtection="0"/>
    <xf numFmtId="0" fontId="93" fillId="44" borderId="39" applyNumberFormat="0" applyAlignment="0" applyProtection="0"/>
    <xf numFmtId="0" fontId="93" fillId="44" borderId="39" applyNumberFormat="0" applyAlignment="0" applyProtection="0"/>
    <xf numFmtId="0" fontId="93" fillId="44" borderId="39" applyNumberFormat="0" applyAlignment="0" applyProtection="0"/>
    <xf numFmtId="0" fontId="93" fillId="44" borderId="39" applyNumberFormat="0" applyAlignment="0" applyProtection="0"/>
    <xf numFmtId="0" fontId="93" fillId="44" borderId="39" applyNumberFormat="0" applyAlignment="0" applyProtection="0"/>
    <xf numFmtId="0" fontId="93" fillId="44" borderId="39" applyNumberFormat="0" applyAlignment="0" applyProtection="0"/>
    <xf numFmtId="0" fontId="93" fillId="44" borderId="39" applyNumberFormat="0" applyAlignment="0" applyProtection="0"/>
    <xf numFmtId="0" fontId="93" fillId="44" borderId="39" applyNumberFormat="0" applyAlignment="0" applyProtection="0"/>
    <xf numFmtId="0" fontId="93" fillId="44" borderId="39" applyNumberFormat="0" applyAlignment="0" applyProtection="0"/>
    <xf numFmtId="0" fontId="93" fillId="44" borderId="39" applyNumberFormat="0" applyAlignment="0" applyProtection="0"/>
    <xf numFmtId="0" fontId="93" fillId="44" borderId="39" applyNumberFormat="0" applyAlignment="0" applyProtection="0"/>
    <xf numFmtId="0" fontId="93" fillId="44" borderId="39" applyNumberFormat="0" applyAlignment="0" applyProtection="0"/>
    <xf numFmtId="0" fontId="63" fillId="44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7" fillId="23" borderId="39" applyNumberFormat="0" applyAlignment="0" applyProtection="0"/>
    <xf numFmtId="0" fontId="108" fillId="23" borderId="39" applyNumberFormat="0" applyAlignment="0" applyProtection="0"/>
    <xf numFmtId="0" fontId="108" fillId="23" borderId="39" applyNumberFormat="0" applyAlignment="0" applyProtection="0"/>
    <xf numFmtId="0" fontId="108" fillId="23" borderId="39" applyNumberFormat="0" applyAlignment="0" applyProtection="0"/>
    <xf numFmtId="0" fontId="108" fillId="23" borderId="39" applyNumberFormat="0" applyAlignment="0" applyProtection="0"/>
    <xf numFmtId="0" fontId="108" fillId="23" borderId="39" applyNumberFormat="0" applyAlignment="0" applyProtection="0"/>
    <xf numFmtId="0" fontId="108" fillId="23" borderId="39" applyNumberFormat="0" applyAlignment="0" applyProtection="0"/>
    <xf numFmtId="0" fontId="108" fillId="23" borderId="39" applyNumberFormat="0" applyAlignment="0" applyProtection="0"/>
    <xf numFmtId="0" fontId="108" fillId="23" borderId="39" applyNumberFormat="0" applyAlignment="0" applyProtection="0"/>
    <xf numFmtId="0" fontId="108" fillId="23" borderId="39" applyNumberFormat="0" applyAlignment="0" applyProtection="0"/>
    <xf numFmtId="0" fontId="108" fillId="23" borderId="39" applyNumberFormat="0" applyAlignment="0" applyProtection="0"/>
    <xf numFmtId="0" fontId="108" fillId="23" borderId="39" applyNumberFormat="0" applyAlignment="0" applyProtection="0"/>
    <xf numFmtId="0" fontId="108" fillId="23" borderId="39" applyNumberFormat="0" applyAlignment="0" applyProtection="0"/>
    <xf numFmtId="0" fontId="108" fillId="23" borderId="39" applyNumberFormat="0" applyAlignment="0" applyProtection="0"/>
    <xf numFmtId="0" fontId="108" fillId="23" borderId="39" applyNumberFormat="0" applyAlignment="0" applyProtection="0"/>
    <xf numFmtId="0" fontId="108" fillId="23" borderId="39" applyNumberFormat="0" applyAlignment="0" applyProtection="0"/>
    <xf numFmtId="0" fontId="107" fillId="23" borderId="39" applyNumberFormat="0" applyAlignment="0" applyProtection="0"/>
    <xf numFmtId="0" fontId="23" fillId="40" borderId="40" applyNumberFormat="0" applyFont="0" applyAlignment="0" applyProtection="0"/>
    <xf numFmtId="0" fontId="23" fillId="40" borderId="40" applyNumberFormat="0" applyFont="0" applyAlignment="0" applyProtection="0"/>
    <xf numFmtId="0" fontId="23" fillId="40" borderId="40" applyNumberFormat="0" applyFont="0" applyAlignment="0" applyProtection="0"/>
    <xf numFmtId="0" fontId="23" fillId="40" borderId="40" applyNumberFormat="0" applyFont="0" applyAlignment="0" applyProtection="0"/>
    <xf numFmtId="0" fontId="23" fillId="40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62" fillId="39" borderId="40" applyNumberFormat="0" applyFont="0" applyAlignment="0" applyProtection="0"/>
    <xf numFmtId="0" fontId="56" fillId="39" borderId="40" applyNumberFormat="0" applyFont="0" applyAlignment="0" applyProtection="0"/>
    <xf numFmtId="0" fontId="56" fillId="39" borderId="40" applyNumberFormat="0" applyFont="0" applyAlignment="0" applyProtection="0"/>
    <xf numFmtId="0" fontId="56" fillId="39" borderId="40" applyNumberFormat="0" applyFont="0" applyAlignment="0" applyProtection="0"/>
    <xf numFmtId="0" fontId="56" fillId="39" borderId="40" applyNumberFormat="0" applyFont="0" applyAlignment="0" applyProtection="0"/>
    <xf numFmtId="0" fontId="56" fillId="39" borderId="40" applyNumberFormat="0" applyFont="0" applyAlignment="0" applyProtection="0"/>
    <xf numFmtId="0" fontId="56" fillId="39" borderId="40" applyNumberFormat="0" applyFont="0" applyAlignment="0" applyProtection="0"/>
    <xf numFmtId="0" fontId="56" fillId="39" borderId="40" applyNumberFormat="0" applyFont="0" applyAlignment="0" applyProtection="0"/>
    <xf numFmtId="0" fontId="56" fillId="39" borderId="40" applyNumberFormat="0" applyFont="0" applyAlignment="0" applyProtection="0"/>
    <xf numFmtId="0" fontId="56" fillId="39" borderId="40" applyNumberFormat="0" applyFont="0" applyAlignment="0" applyProtection="0"/>
    <xf numFmtId="0" fontId="56" fillId="39" borderId="40" applyNumberFormat="0" applyFont="0" applyAlignment="0" applyProtection="0"/>
    <xf numFmtId="0" fontId="56" fillId="39" borderId="40" applyNumberFormat="0" applyFont="0" applyAlignment="0" applyProtection="0"/>
    <xf numFmtId="0" fontId="56" fillId="39" borderId="40" applyNumberFormat="0" applyFont="0" applyAlignment="0" applyProtection="0"/>
    <xf numFmtId="0" fontId="56" fillId="39" borderId="40" applyNumberFormat="0" applyFont="0" applyAlignment="0" applyProtection="0"/>
    <xf numFmtId="0" fontId="56" fillId="39" borderId="40" applyNumberFormat="0" applyFont="0" applyAlignment="0" applyProtection="0"/>
    <xf numFmtId="0" fontId="56" fillId="39" borderId="40" applyNumberFormat="0" applyFont="0" applyAlignment="0" applyProtection="0"/>
    <xf numFmtId="0" fontId="62" fillId="39" borderId="40" applyNumberFormat="0" applyFon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1" fillId="32" borderId="44" applyNumberFormat="0" applyAlignment="0" applyProtection="0"/>
    <xf numFmtId="0" fontId="112" fillId="44" borderId="44" applyNumberFormat="0" applyAlignment="0" applyProtection="0"/>
    <xf numFmtId="0" fontId="112" fillId="44" borderId="44" applyNumberFormat="0" applyAlignment="0" applyProtection="0"/>
    <xf numFmtId="0" fontId="112" fillId="44" borderId="44" applyNumberFormat="0" applyAlignment="0" applyProtection="0"/>
    <xf numFmtId="0" fontId="112" fillId="44" borderId="44" applyNumberFormat="0" applyAlignment="0" applyProtection="0"/>
    <xf numFmtId="0" fontId="112" fillId="44" borderId="44" applyNumberFormat="0" applyAlignment="0" applyProtection="0"/>
    <xf numFmtId="0" fontId="112" fillId="44" borderId="44" applyNumberFormat="0" applyAlignment="0" applyProtection="0"/>
    <xf numFmtId="0" fontId="112" fillId="44" borderId="44" applyNumberFormat="0" applyAlignment="0" applyProtection="0"/>
    <xf numFmtId="0" fontId="112" fillId="44" borderId="44" applyNumberFormat="0" applyAlignment="0" applyProtection="0"/>
    <xf numFmtId="0" fontId="112" fillId="44" borderId="44" applyNumberFormat="0" applyAlignment="0" applyProtection="0"/>
    <xf numFmtId="0" fontId="112" fillId="44" borderId="44" applyNumberFormat="0" applyAlignment="0" applyProtection="0"/>
    <xf numFmtId="0" fontId="112" fillId="44" borderId="44" applyNumberFormat="0" applyAlignment="0" applyProtection="0"/>
    <xf numFmtId="0" fontId="112" fillId="44" borderId="44" applyNumberFormat="0" applyAlignment="0" applyProtection="0"/>
    <xf numFmtId="0" fontId="112" fillId="44" borderId="44" applyNumberFormat="0" applyAlignment="0" applyProtection="0"/>
    <xf numFmtId="0" fontId="112" fillId="44" borderId="44" applyNumberFormat="0" applyAlignment="0" applyProtection="0"/>
    <xf numFmtId="0" fontId="112" fillId="44" borderId="44" applyNumberFormat="0" applyAlignment="0" applyProtection="0"/>
    <xf numFmtId="0" fontId="111" fillId="44" borderId="44" applyNumberFormat="0" applyAlignment="0" applyProtection="0"/>
    <xf numFmtId="0" fontId="51" fillId="0" borderId="0" applyNumberFormat="0" applyFill="0" applyBorder="0" applyAlignment="0" applyProtection="0"/>
    <xf numFmtId="0" fontId="23" fillId="40" borderId="49" applyNumberFormat="0" applyFont="0" applyAlignment="0" applyProtection="0"/>
    <xf numFmtId="0" fontId="44" fillId="17" borderId="47">
      <alignment horizontal="left" vertical="center"/>
    </xf>
    <xf numFmtId="0" fontId="43" fillId="34" borderId="47">
      <alignment horizontal="left" vertical="center"/>
    </xf>
    <xf numFmtId="0" fontId="40" fillId="32" borderId="48" applyNumberFormat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1" fillId="0" borderId="42" applyNumberFormat="0" applyFill="0" applyAlignment="0" applyProtection="0"/>
    <xf numFmtId="0" fontId="112" fillId="0" borderId="45" applyNumberFormat="0" applyFill="0" applyAlignment="0" applyProtection="0"/>
    <xf numFmtId="0" fontId="112" fillId="0" borderId="45" applyNumberFormat="0" applyFill="0" applyAlignment="0" applyProtection="0"/>
    <xf numFmtId="0" fontId="112" fillId="0" borderId="45" applyNumberFormat="0" applyFill="0" applyAlignment="0" applyProtection="0"/>
    <xf numFmtId="0" fontId="112" fillId="0" borderId="45" applyNumberFormat="0" applyFill="0" applyAlignment="0" applyProtection="0"/>
    <xf numFmtId="0" fontId="112" fillId="0" borderId="45" applyNumberFormat="0" applyFill="0" applyAlignment="0" applyProtection="0"/>
    <xf numFmtId="0" fontId="112" fillId="0" borderId="45" applyNumberFormat="0" applyFill="0" applyAlignment="0" applyProtection="0"/>
    <xf numFmtId="0" fontId="112" fillId="0" borderId="45" applyNumberFormat="0" applyFill="0" applyAlignment="0" applyProtection="0"/>
    <xf numFmtId="0" fontId="112" fillId="0" borderId="45" applyNumberFormat="0" applyFill="0" applyAlignment="0" applyProtection="0"/>
    <xf numFmtId="0" fontId="112" fillId="0" borderId="45" applyNumberFormat="0" applyFill="0" applyAlignment="0" applyProtection="0"/>
    <xf numFmtId="0" fontId="112" fillId="0" borderId="45" applyNumberFormat="0" applyFill="0" applyAlignment="0" applyProtection="0"/>
    <xf numFmtId="0" fontId="112" fillId="0" borderId="45" applyNumberFormat="0" applyFill="0" applyAlignment="0" applyProtection="0"/>
    <xf numFmtId="0" fontId="112" fillId="0" borderId="45" applyNumberFormat="0" applyFill="0" applyAlignment="0" applyProtection="0"/>
    <xf numFmtId="0" fontId="112" fillId="0" borderId="45" applyNumberFormat="0" applyFill="0" applyAlignment="0" applyProtection="0"/>
    <xf numFmtId="0" fontId="112" fillId="0" borderId="45" applyNumberFormat="0" applyFill="0" applyAlignment="0" applyProtection="0"/>
    <xf numFmtId="0" fontId="112" fillId="0" borderId="45" applyNumberFormat="0" applyFill="0" applyAlignment="0" applyProtection="0"/>
    <xf numFmtId="0" fontId="111" fillId="0" borderId="45" applyNumberFormat="0" applyFill="0" applyAlignment="0" applyProtection="0"/>
    <xf numFmtId="0" fontId="29" fillId="0" borderId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62" fillId="39" borderId="49" applyNumberFormat="0" applyFon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1" fillId="44" borderId="50" applyNumberFormat="0" applyAlignment="0" applyProtection="0"/>
    <xf numFmtId="0" fontId="116" fillId="0" borderId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1" fillId="0" borderId="52" applyNumberFormat="0" applyFill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3" fillId="0" borderId="0" applyFont="0" applyFill="0" applyBorder="0" applyAlignment="0" applyProtection="0"/>
    <xf numFmtId="170" fontId="35" fillId="0" borderId="53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63" fillId="44" borderId="48" applyNumberFormat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5" fontId="23" fillId="0" borderId="0" applyFont="0" applyFill="0" applyBorder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7" fillId="23" borderId="48" applyNumberFormat="0" applyAlignment="0" applyProtection="0"/>
    <xf numFmtId="170" fontId="35" fillId="0" borderId="53"/>
    <xf numFmtId="0" fontId="40" fillId="32" borderId="48" applyNumberFormat="0" applyAlignment="0" applyProtection="0"/>
    <xf numFmtId="1" fontId="41" fillId="17" borderId="47">
      <alignment horizontal="right" vertical="center"/>
    </xf>
    <xf numFmtId="0" fontId="41" fillId="16" borderId="47">
      <alignment horizontal="center" vertical="center"/>
    </xf>
    <xf numFmtId="1" fontId="41" fillId="17" borderId="47">
      <alignment horizontal="right" vertical="center"/>
    </xf>
    <xf numFmtId="0" fontId="42" fillId="17" borderId="47"/>
    <xf numFmtId="0" fontId="43" fillId="34" borderId="47">
      <alignment horizontal="left" vertical="center"/>
    </xf>
    <xf numFmtId="0" fontId="43" fillId="34" borderId="47">
      <alignment horizontal="left" vertical="center"/>
    </xf>
    <xf numFmtId="0" fontId="44" fillId="17" borderId="47">
      <alignment horizontal="left" vertical="center"/>
    </xf>
    <xf numFmtId="0" fontId="46" fillId="23" borderId="48" applyNumberForma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44" fontId="1" fillId="0" borderId="0" applyFont="0" applyFill="0" applyBorder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0" fontId="85" fillId="0" borderId="51" applyNumberFormat="0" applyFill="0" applyAlignment="0" applyProtection="0"/>
    <xf numFmtId="170" fontId="35" fillId="0" borderId="53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63" fillId="32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93" fillId="44" borderId="48" applyNumberFormat="0" applyAlignment="0" applyProtection="0"/>
    <xf numFmtId="0" fontId="63" fillId="44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7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8" fillId="23" borderId="48" applyNumberFormat="0" applyAlignment="0" applyProtection="0"/>
    <xf numFmtId="0" fontId="107" fillId="23" borderId="48" applyNumberForma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23" fillId="40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62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56" fillId="39" borderId="49" applyNumberFormat="0" applyFont="0" applyAlignment="0" applyProtection="0"/>
    <xf numFmtId="0" fontId="62" fillId="39" borderId="49" applyNumberFormat="0" applyFon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1" fillId="32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2" fillId="44" borderId="50" applyNumberFormat="0" applyAlignment="0" applyProtection="0"/>
    <xf numFmtId="0" fontId="111" fillId="44" borderId="50" applyNumberFormat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1" fillId="0" borderId="51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2" fillId="0" borderId="52" applyNumberFormat="0" applyFill="0" applyAlignment="0" applyProtection="0"/>
    <xf numFmtId="0" fontId="111" fillId="0" borderId="52" applyNumberFormat="0" applyFill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7" fillId="0" borderId="0" applyNumberFormat="0" applyFill="0" applyBorder="0" applyAlignment="0" applyProtection="0"/>
  </cellStyleXfs>
  <cellXfs count="556">
    <xf numFmtId="0" fontId="0" fillId="0" borderId="0" xfId="0"/>
    <xf numFmtId="0" fontId="10" fillId="0" borderId="0" xfId="0" applyFont="1" applyAlignment="1">
      <alignment horizontal="center"/>
    </xf>
    <xf numFmtId="0" fontId="7" fillId="11" borderId="0" xfId="0" applyFont="1" applyFill="1" applyAlignment="1">
      <alignment horizontal="center"/>
    </xf>
    <xf numFmtId="203" fontId="118" fillId="53" borderId="22" xfId="0" applyNumberFormat="1" applyFont="1" applyFill="1" applyBorder="1" applyAlignment="1">
      <alignment horizontal="center"/>
    </xf>
    <xf numFmtId="202" fontId="118" fillId="53" borderId="2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11" borderId="0" xfId="0" applyFont="1" applyFill="1" applyAlignment="1">
      <alignment horizontal="center"/>
    </xf>
    <xf numFmtId="0" fontId="11" fillId="11" borderId="0" xfId="0" applyFont="1" applyFill="1"/>
    <xf numFmtId="0" fontId="11" fillId="13" borderId="0" xfId="0" applyFont="1" applyFill="1" applyAlignment="1">
      <alignment horizontal="center"/>
    </xf>
    <xf numFmtId="0" fontId="14" fillId="0" borderId="0" xfId="0" applyFont="1"/>
    <xf numFmtId="0" fontId="8" fillId="0" borderId="0" xfId="0" applyFont="1"/>
    <xf numFmtId="0" fontId="10" fillId="0" borderId="0" xfId="0" applyFont="1"/>
    <xf numFmtId="0" fontId="0" fillId="0" borderId="0" xfId="0" applyAlignment="1">
      <alignment horizontal="left" indent="1"/>
    </xf>
    <xf numFmtId="165" fontId="0" fillId="0" borderId="0" xfId="0" applyNumberFormat="1"/>
    <xf numFmtId="165" fontId="15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5" fillId="14" borderId="0" xfId="0" applyNumberFormat="1" applyFont="1" applyFill="1" applyAlignment="1">
      <alignment horizontal="center"/>
    </xf>
    <xf numFmtId="165" fontId="14" fillId="14" borderId="0" xfId="0" applyNumberFormat="1" applyFont="1" applyFill="1" applyAlignment="1">
      <alignment horizontal="center"/>
    </xf>
    <xf numFmtId="165" fontId="10" fillId="14" borderId="0" xfId="0" applyNumberFormat="1" applyFont="1" applyFill="1" applyAlignment="1">
      <alignment horizontal="center"/>
    </xf>
    <xf numFmtId="165" fontId="0" fillId="14" borderId="0" xfId="0" applyNumberFormat="1" applyFill="1" applyAlignment="1">
      <alignment horizontal="center"/>
    </xf>
    <xf numFmtId="0" fontId="0" fillId="0" borderId="0" xfId="0" applyAlignment="1">
      <alignment horizontal="left" indent="3"/>
    </xf>
    <xf numFmtId="165" fontId="17" fillId="0" borderId="0" xfId="0" applyNumberFormat="1" applyFont="1" applyAlignment="1">
      <alignment horizontal="center"/>
    </xf>
    <xf numFmtId="165" fontId="17" fillId="14" borderId="0" xfId="0" applyNumberFormat="1" applyFont="1" applyFill="1" applyAlignment="1">
      <alignment horizontal="center"/>
    </xf>
    <xf numFmtId="0" fontId="10" fillId="0" borderId="6" xfId="0" applyFont="1" applyBorder="1"/>
    <xf numFmtId="165" fontId="10" fillId="0" borderId="6" xfId="0" applyNumberFormat="1" applyFont="1" applyBorder="1" applyAlignment="1">
      <alignment horizontal="center"/>
    </xf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7" fillId="11" borderId="0" xfId="0" applyFont="1" applyFill="1"/>
    <xf numFmtId="0" fontId="10" fillId="0" borderId="7" xfId="0" applyFont="1" applyBorder="1"/>
    <xf numFmtId="165" fontId="10" fillId="0" borderId="7" xfId="0" applyNumberFormat="1" applyFont="1" applyBorder="1" applyAlignment="1">
      <alignment horizontal="center"/>
    </xf>
    <xf numFmtId="165" fontId="10" fillId="14" borderId="7" xfId="0" applyNumberFormat="1" applyFont="1" applyFill="1" applyBorder="1" applyAlignment="1">
      <alignment horizontal="center"/>
    </xf>
    <xf numFmtId="165" fontId="16" fillId="14" borderId="6" xfId="0" applyNumberFormat="1" applyFont="1" applyFill="1" applyBorder="1" applyAlignment="1">
      <alignment horizontal="center"/>
    </xf>
    <xf numFmtId="165" fontId="16" fillId="14" borderId="0" xfId="0" applyNumberFormat="1" applyFont="1" applyFill="1" applyAlignment="1">
      <alignment horizontal="center"/>
    </xf>
    <xf numFmtId="165" fontId="16" fillId="14" borderId="7" xfId="0" applyNumberFormat="1" applyFont="1" applyFill="1" applyBorder="1" applyAlignment="1">
      <alignment horizontal="center"/>
    </xf>
    <xf numFmtId="164" fontId="13" fillId="12" borderId="0" xfId="0" applyNumberFormat="1" applyFont="1" applyFill="1" applyAlignment="1">
      <alignment horizontal="center"/>
    </xf>
    <xf numFmtId="0" fontId="0" fillId="0" borderId="8" xfId="0" applyBorder="1"/>
    <xf numFmtId="0" fontId="0" fillId="0" borderId="0" xfId="0" applyAlignment="1">
      <alignment horizontal="left" indent="4"/>
    </xf>
    <xf numFmtId="0" fontId="10" fillId="0" borderId="0" xfId="0" applyFont="1" applyAlignment="1">
      <alignment horizontal="left" indent="2"/>
    </xf>
    <xf numFmtId="165" fontId="10" fillId="0" borderId="9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0" fillId="0" borderId="0" xfId="0" applyAlignment="1">
      <alignment horizontal="left" indent="5"/>
    </xf>
    <xf numFmtId="165" fontId="16" fillId="0" borderId="6" xfId="0" applyNumberFormat="1" applyFont="1" applyBorder="1" applyAlignment="1">
      <alignment horizontal="center"/>
    </xf>
    <xf numFmtId="0" fontId="21" fillId="0" borderId="0" xfId="0" applyFont="1"/>
    <xf numFmtId="168" fontId="21" fillId="0" borderId="0" xfId="0" applyNumberFormat="1" applyFont="1" applyAlignment="1">
      <alignment horizontal="center"/>
    </xf>
    <xf numFmtId="0" fontId="10" fillId="0" borderId="9" xfId="0" applyFont="1" applyBorder="1"/>
    <xf numFmtId="166" fontId="14" fillId="0" borderId="0" xfId="19" applyNumberFormat="1" applyFont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left" indent="1"/>
    </xf>
    <xf numFmtId="165" fontId="14" fillId="15" borderId="0" xfId="0" applyNumberFormat="1" applyFont="1" applyFill="1" applyAlignment="1">
      <alignment horizontal="center"/>
    </xf>
    <xf numFmtId="165" fontId="0" fillId="15" borderId="0" xfId="0" applyNumberFormat="1" applyFill="1" applyAlignment="1">
      <alignment horizontal="center"/>
    </xf>
    <xf numFmtId="0" fontId="0" fillId="15" borderId="0" xfId="0" applyFill="1" applyAlignment="1">
      <alignment horizontal="left" indent="3"/>
    </xf>
    <xf numFmtId="165" fontId="20" fillId="0" borderId="0" xfId="0" applyNumberFormat="1" applyFont="1" applyAlignment="1">
      <alignment horizontal="center"/>
    </xf>
    <xf numFmtId="169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165" fontId="20" fillId="14" borderId="0" xfId="0" applyNumberFormat="1" applyFont="1" applyFill="1" applyAlignment="1">
      <alignment horizontal="center"/>
    </xf>
    <xf numFmtId="166" fontId="10" fillId="14" borderId="0" xfId="0" applyNumberFormat="1" applyFont="1" applyFill="1" applyAlignment="1">
      <alignment horizontal="center"/>
    </xf>
    <xf numFmtId="166" fontId="10" fillId="0" borderId="0" xfId="0" applyNumberFormat="1" applyFont="1" applyAlignment="1">
      <alignment horizontal="center"/>
    </xf>
    <xf numFmtId="166" fontId="10" fillId="14" borderId="7" xfId="0" applyNumberFormat="1" applyFont="1" applyFill="1" applyBorder="1" applyAlignment="1">
      <alignment horizontal="center"/>
    </xf>
    <xf numFmtId="166" fontId="10" fillId="0" borderId="7" xfId="0" applyNumberFormat="1" applyFont="1" applyBorder="1" applyAlignment="1">
      <alignment horizontal="center"/>
    </xf>
    <xf numFmtId="0" fontId="0" fillId="15" borderId="0" xfId="0" applyFill="1" applyAlignment="1">
      <alignment horizontal="left" indent="4"/>
    </xf>
    <xf numFmtId="189" fontId="13" fillId="12" borderId="0" xfId="0" applyNumberFormat="1" applyFont="1" applyFill="1" applyAlignment="1">
      <alignment horizontal="center"/>
    </xf>
    <xf numFmtId="164" fontId="11" fillId="13" borderId="0" xfId="0" applyNumberFormat="1" applyFont="1" applyFill="1" applyAlignment="1">
      <alignment horizontal="center"/>
    </xf>
    <xf numFmtId="0" fontId="0" fillId="0" borderId="8" xfId="0" applyBorder="1" applyAlignment="1">
      <alignment horizontal="left"/>
    </xf>
    <xf numFmtId="165" fontId="17" fillId="14" borderId="8" xfId="0" applyNumberFormat="1" applyFon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14" borderId="8" xfId="0" applyNumberFormat="1" applyFill="1" applyBorder="1" applyAlignment="1">
      <alignment horizontal="center"/>
    </xf>
    <xf numFmtId="166" fontId="10" fillId="0" borderId="9" xfId="0" applyNumberFormat="1" applyFont="1" applyBorder="1" applyAlignment="1">
      <alignment horizontal="center"/>
    </xf>
    <xf numFmtId="165" fontId="10" fillId="0" borderId="9" xfId="0" applyNumberFormat="1" applyFont="1" applyBorder="1" applyAlignment="1">
      <alignment horizontal="left"/>
    </xf>
    <xf numFmtId="165" fontId="10" fillId="0" borderId="0" xfId="0" applyNumberFormat="1" applyFont="1" applyAlignment="1">
      <alignment horizontal="left"/>
    </xf>
    <xf numFmtId="165" fontId="10" fillId="0" borderId="6" xfId="0" applyNumberFormat="1" applyFont="1" applyBorder="1" applyAlignment="1">
      <alignment horizontal="left"/>
    </xf>
    <xf numFmtId="0" fontId="117" fillId="0" borderId="0" xfId="0" applyFont="1" applyAlignment="1">
      <alignment horizontal="left"/>
    </xf>
    <xf numFmtId="168" fontId="10" fillId="0" borderId="0" xfId="0" applyNumberFormat="1" applyFont="1" applyAlignment="1">
      <alignment horizontal="center"/>
    </xf>
    <xf numFmtId="167" fontId="10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0" fontId="118" fillId="0" borderId="0" xfId="0" applyFont="1" applyAlignment="1">
      <alignment horizontal="left" indent="2"/>
    </xf>
    <xf numFmtId="0" fontId="118" fillId="0" borderId="0" xfId="0" applyFont="1"/>
    <xf numFmtId="168" fontId="118" fillId="0" borderId="0" xfId="0" applyNumberFormat="1" applyFont="1" applyAlignment="1">
      <alignment horizontal="center"/>
    </xf>
    <xf numFmtId="192" fontId="119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0" applyFont="1" applyAlignment="1">
      <alignment horizontal="center"/>
    </xf>
    <xf numFmtId="0" fontId="118" fillId="0" borderId="0" xfId="0" applyFont="1" applyAlignment="1">
      <alignment horizontal="left" indent="7"/>
    </xf>
    <xf numFmtId="0" fontId="16" fillId="0" borderId="0" xfId="0" applyFont="1" applyAlignment="1">
      <alignment horizontal="center"/>
    </xf>
    <xf numFmtId="166" fontId="17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center"/>
    </xf>
    <xf numFmtId="0" fontId="0" fillId="0" borderId="0" xfId="0" applyAlignment="1">
      <alignment horizontal="left" indent="7"/>
    </xf>
    <xf numFmtId="193" fontId="17" fillId="0" borderId="0" xfId="4894" applyNumberFormat="1" applyFont="1" applyAlignment="1">
      <alignment horizontal="center"/>
    </xf>
    <xf numFmtId="0" fontId="118" fillId="0" borderId="0" xfId="0" applyFont="1" applyAlignment="1">
      <alignment horizontal="left" indent="4"/>
    </xf>
    <xf numFmtId="0" fontId="118" fillId="0" borderId="0" xfId="0" applyFont="1" applyAlignment="1">
      <alignment horizontal="center"/>
    </xf>
    <xf numFmtId="193" fontId="118" fillId="0" borderId="0" xfId="4894" applyNumberFormat="1" applyFont="1" applyAlignment="1">
      <alignment horizontal="center"/>
    </xf>
    <xf numFmtId="193" fontId="120" fillId="0" borderId="0" xfId="4894" applyNumberFormat="1" applyFont="1" applyAlignment="1">
      <alignment horizontal="center"/>
    </xf>
    <xf numFmtId="190" fontId="0" fillId="0" borderId="0" xfId="0" applyNumberFormat="1" applyAlignment="1">
      <alignment horizontal="center"/>
    </xf>
    <xf numFmtId="190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left" indent="1"/>
    </xf>
    <xf numFmtId="3" fontId="10" fillId="0" borderId="0" xfId="0" applyNumberFormat="1" applyFont="1" applyAlignment="1">
      <alignment horizontal="center"/>
    </xf>
    <xf numFmtId="1" fontId="118" fillId="0" borderId="0" xfId="0" applyNumberFormat="1" applyFont="1" applyAlignment="1">
      <alignment horizontal="left" indent="1"/>
    </xf>
    <xf numFmtId="1" fontId="118" fillId="0" borderId="0" xfId="0" applyNumberFormat="1" applyFont="1" applyAlignment="1">
      <alignment horizontal="left" indent="3"/>
    </xf>
    <xf numFmtId="9" fontId="118" fillId="0" borderId="0" xfId="4894" applyFont="1" applyAlignment="1">
      <alignment horizontal="center"/>
    </xf>
    <xf numFmtId="9" fontId="118" fillId="0" borderId="0" xfId="4894" applyFont="1"/>
    <xf numFmtId="9" fontId="118" fillId="0" borderId="0" xfId="4894" applyFont="1" applyAlignment="1">
      <alignment horizontal="left" indent="3"/>
    </xf>
    <xf numFmtId="9" fontId="1" fillId="0" borderId="0" xfId="4894" applyFont="1"/>
    <xf numFmtId="3" fontId="0" fillId="0" borderId="0" xfId="0" applyNumberFormat="1" applyAlignment="1">
      <alignment horizontal="center"/>
    </xf>
    <xf numFmtId="9" fontId="118" fillId="0" borderId="0" xfId="4894" applyFont="1" applyAlignment="1">
      <alignment horizontal="left" indent="2"/>
    </xf>
    <xf numFmtId="193" fontId="123" fillId="0" borderId="0" xfId="4894" applyNumberFormat="1" applyFont="1" applyAlignment="1">
      <alignment horizontal="center"/>
    </xf>
    <xf numFmtId="0" fontId="117" fillId="0" borderId="0" xfId="0" applyFont="1"/>
    <xf numFmtId="9" fontId="1" fillId="0" borderId="0" xfId="4894" applyFont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190" fontId="10" fillId="0" borderId="0" xfId="0" applyNumberFormat="1" applyFont="1" applyAlignment="1">
      <alignment horizontal="center"/>
    </xf>
    <xf numFmtId="193" fontId="0" fillId="0" borderId="0" xfId="4894" applyNumberFormat="1" applyFont="1" applyAlignment="1">
      <alignment horizontal="center"/>
    </xf>
    <xf numFmtId="190" fontId="15" fillId="0" borderId="0" xfId="0" applyNumberFormat="1" applyFont="1" applyAlignment="1">
      <alignment horizontal="center"/>
    </xf>
    <xf numFmtId="9" fontId="118" fillId="0" borderId="0" xfId="4894" applyFont="1" applyAlignment="1">
      <alignment horizontal="left" indent="4"/>
    </xf>
    <xf numFmtId="9" fontId="119" fillId="0" borderId="0" xfId="4894" applyFont="1" applyAlignment="1">
      <alignment horizontal="center"/>
    </xf>
    <xf numFmtId="9" fontId="124" fillId="0" borderId="0" xfId="4894" applyFont="1" applyAlignment="1">
      <alignment horizontal="center"/>
    </xf>
    <xf numFmtId="2" fontId="8" fillId="0" borderId="0" xfId="0" applyNumberFormat="1" applyFont="1" applyAlignment="1">
      <alignment horizontal="center"/>
    </xf>
    <xf numFmtId="193" fontId="118" fillId="0" borderId="0" xfId="4894" applyNumberFormat="1" applyFont="1" applyAlignment="1">
      <alignment horizontal="left" indent="4"/>
    </xf>
    <xf numFmtId="193" fontId="124" fillId="0" borderId="0" xfId="4894" applyNumberFormat="1" applyFont="1" applyAlignment="1">
      <alignment horizontal="center"/>
    </xf>
    <xf numFmtId="193" fontId="118" fillId="0" borderId="0" xfId="4894" applyNumberFormat="1" applyFont="1"/>
    <xf numFmtId="2" fontId="118" fillId="0" borderId="0" xfId="4894" applyNumberFormat="1" applyFont="1" applyAlignment="1">
      <alignment horizontal="center"/>
    </xf>
    <xf numFmtId="0" fontId="17" fillId="0" borderId="0" xfId="0" applyFont="1" applyAlignment="1">
      <alignment horizontal="left" indent="6"/>
    </xf>
    <xf numFmtId="190" fontId="8" fillId="0" borderId="0" xfId="0" applyNumberFormat="1" applyFont="1" applyAlignment="1">
      <alignment horizontal="center"/>
    </xf>
    <xf numFmtId="10" fontId="8" fillId="0" borderId="0" xfId="4894" applyNumberFormat="1" applyFont="1" applyAlignment="1">
      <alignment horizontal="center"/>
    </xf>
    <xf numFmtId="10" fontId="17" fillId="0" borderId="0" xfId="4894" applyNumberFormat="1" applyFont="1" applyAlignment="1">
      <alignment horizontal="center"/>
    </xf>
    <xf numFmtId="0" fontId="125" fillId="0" borderId="0" xfId="0" applyFont="1" applyAlignment="1">
      <alignment horizontal="center"/>
    </xf>
    <xf numFmtId="190" fontId="125" fillId="0" borderId="0" xfId="0" applyNumberFormat="1" applyFont="1" applyAlignment="1">
      <alignment horizontal="center"/>
    </xf>
    <xf numFmtId="0" fontId="125" fillId="0" borderId="0" xfId="0" applyFont="1"/>
    <xf numFmtId="0" fontId="120" fillId="0" borderId="0" xfId="0" applyFont="1" applyAlignment="1">
      <alignment horizontal="center"/>
    </xf>
    <xf numFmtId="190" fontId="120" fillId="0" borderId="0" xfId="0" applyNumberFormat="1" applyFont="1" applyAlignment="1">
      <alignment horizontal="center"/>
    </xf>
    <xf numFmtId="9" fontId="126" fillId="0" borderId="0" xfId="4894" applyFont="1" applyAlignment="1">
      <alignment horizontal="center"/>
    </xf>
    <xf numFmtId="0" fontId="120" fillId="0" borderId="0" xfId="0" applyFont="1"/>
    <xf numFmtId="9" fontId="1" fillId="0" borderId="0" xfId="4894" applyFont="1" applyAlignment="1">
      <alignment horizontal="left" indent="4"/>
    </xf>
    <xf numFmtId="9" fontId="17" fillId="0" borderId="0" xfId="4894" applyFont="1" applyAlignment="1">
      <alignment horizontal="center"/>
    </xf>
    <xf numFmtId="2" fontId="1" fillId="0" borderId="0" xfId="4894" applyNumberFormat="1" applyFont="1" applyAlignment="1">
      <alignment horizontal="center"/>
    </xf>
    <xf numFmtId="194" fontId="0" fillId="0" borderId="0" xfId="0" applyNumberFormat="1" applyAlignment="1">
      <alignment horizontal="center"/>
    </xf>
    <xf numFmtId="0" fontId="119" fillId="0" borderId="0" xfId="0" applyFont="1" applyAlignment="1">
      <alignment horizontal="left" indent="9"/>
    </xf>
    <xf numFmtId="193" fontId="118" fillId="0" borderId="0" xfId="4894" applyNumberFormat="1" applyFont="1" applyFill="1" applyAlignment="1">
      <alignment horizontal="center"/>
    </xf>
    <xf numFmtId="10" fontId="118" fillId="0" borderId="0" xfId="4894" applyNumberFormat="1" applyFont="1" applyFill="1" applyAlignment="1">
      <alignment horizontal="center"/>
    </xf>
    <xf numFmtId="10" fontId="120" fillId="0" borderId="0" xfId="4894" applyNumberFormat="1" applyFont="1" applyAlignment="1">
      <alignment horizontal="center"/>
    </xf>
    <xf numFmtId="193" fontId="1" fillId="0" borderId="0" xfId="4894" applyNumberFormat="1" applyFont="1" applyFill="1" applyAlignment="1">
      <alignment horizontal="center"/>
    </xf>
    <xf numFmtId="193" fontId="118" fillId="0" borderId="0" xfId="4894" applyNumberFormat="1" applyFont="1" applyFill="1" applyAlignment="1">
      <alignment horizontal="left" indent="1"/>
    </xf>
    <xf numFmtId="193" fontId="124" fillId="0" borderId="0" xfId="4894" applyNumberFormat="1" applyFont="1" applyFill="1" applyAlignment="1">
      <alignment horizontal="center"/>
    </xf>
    <xf numFmtId="193" fontId="118" fillId="0" borderId="0" xfId="4894" applyNumberFormat="1" applyFont="1" applyFill="1"/>
    <xf numFmtId="193" fontId="120" fillId="0" borderId="0" xfId="4894" applyNumberFormat="1" applyFont="1" applyFill="1" applyAlignment="1">
      <alignment horizontal="center"/>
    </xf>
    <xf numFmtId="0" fontId="118" fillId="0" borderId="0" xfId="0" applyFont="1" applyAlignment="1">
      <alignment horizontal="left" indent="6"/>
    </xf>
    <xf numFmtId="9" fontId="118" fillId="0" borderId="0" xfId="4894" applyFont="1" applyFill="1" applyAlignment="1">
      <alignment horizontal="center"/>
    </xf>
    <xf numFmtId="193" fontId="120" fillId="0" borderId="0" xfId="0" applyNumberFormat="1" applyFont="1" applyAlignment="1">
      <alignment horizontal="center"/>
    </xf>
    <xf numFmtId="192" fontId="118" fillId="0" borderId="0" xfId="4894" applyNumberFormat="1" applyFont="1" applyFill="1" applyAlignment="1">
      <alignment horizontal="center"/>
    </xf>
    <xf numFmtId="10" fontId="118" fillId="0" borderId="0" xfId="4894" applyNumberFormat="1" applyFont="1"/>
    <xf numFmtId="10" fontId="118" fillId="0" borderId="0" xfId="4894" applyNumberFormat="1" applyFont="1" applyAlignment="1">
      <alignment horizontal="center"/>
    </xf>
    <xf numFmtId="3" fontId="15" fillId="0" borderId="0" xfId="0" applyNumberFormat="1" applyFont="1" applyAlignment="1">
      <alignment horizontal="center"/>
    </xf>
    <xf numFmtId="191" fontId="15" fillId="0" borderId="0" xfId="0" applyNumberFormat="1" applyFont="1" applyAlignment="1">
      <alignment horizontal="center"/>
    </xf>
    <xf numFmtId="3" fontId="10" fillId="0" borderId="0" xfId="0" applyNumberFormat="1" applyFont="1"/>
    <xf numFmtId="9" fontId="119" fillId="0" borderId="0" xfId="4894" applyFont="1" applyFill="1" applyAlignment="1">
      <alignment horizontal="center"/>
    </xf>
    <xf numFmtId="0" fontId="118" fillId="0" borderId="0" xfId="0" applyFont="1" applyAlignment="1">
      <alignment horizontal="left" indent="5"/>
    </xf>
    <xf numFmtId="2" fontId="118" fillId="0" borderId="0" xfId="4894" applyNumberFormat="1" applyFont="1" applyFill="1" applyAlignment="1">
      <alignment horizontal="center"/>
    </xf>
    <xf numFmtId="9" fontId="118" fillId="0" borderId="0" xfId="4894" applyFont="1" applyFill="1" applyAlignment="1">
      <alignment horizontal="left" indent="4"/>
    </xf>
    <xf numFmtId="3" fontId="10" fillId="47" borderId="0" xfId="0" applyNumberFormat="1" applyFont="1" applyFill="1" applyAlignment="1">
      <alignment horizontal="center"/>
    </xf>
    <xf numFmtId="9" fontId="127" fillId="0" borderId="0" xfId="4894" applyFont="1" applyFill="1"/>
    <xf numFmtId="9" fontId="118" fillId="0" borderId="0" xfId="4894" applyFont="1" applyFill="1" applyAlignment="1">
      <alignment horizontal="left" indent="2"/>
    </xf>
    <xf numFmtId="3" fontId="125" fillId="0" borderId="0" xfId="0" applyNumberFormat="1" applyFont="1" applyAlignment="1">
      <alignment horizontal="center"/>
    </xf>
    <xf numFmtId="192" fontId="118" fillId="0" borderId="0" xfId="4894" applyNumberFormat="1" applyFont="1" applyAlignment="1">
      <alignment horizontal="center"/>
    </xf>
    <xf numFmtId="0" fontId="118" fillId="0" borderId="0" xfId="0" applyFont="1" applyAlignment="1">
      <alignment horizontal="left" indent="3"/>
    </xf>
    <xf numFmtId="0" fontId="0" fillId="0" borderId="0" xfId="0" applyAlignment="1">
      <alignment horizontal="left" indent="9"/>
    </xf>
    <xf numFmtId="10" fontId="118" fillId="0" borderId="0" xfId="4894" applyNumberFormat="1" applyFont="1" applyAlignment="1">
      <alignment horizontal="left" indent="2"/>
    </xf>
    <xf numFmtId="3" fontId="10" fillId="0" borderId="0" xfId="4894" applyNumberFormat="1" applyFont="1" applyFill="1" applyAlignment="1">
      <alignment horizontal="center"/>
    </xf>
    <xf numFmtId="193" fontId="118" fillId="0" borderId="0" xfId="0" applyNumberFormat="1" applyFont="1" applyAlignment="1">
      <alignment horizontal="center"/>
    </xf>
    <xf numFmtId="190" fontId="118" fillId="0" borderId="0" xfId="0" applyNumberFormat="1" applyFont="1" applyAlignment="1">
      <alignment horizontal="center"/>
    </xf>
    <xf numFmtId="3" fontId="1" fillId="0" borderId="0" xfId="4894" applyNumberFormat="1" applyFont="1" applyFill="1" applyAlignment="1">
      <alignment horizontal="center"/>
    </xf>
    <xf numFmtId="9" fontId="1" fillId="0" borderId="0" xfId="4894" applyFont="1" applyFill="1" applyAlignment="1">
      <alignment horizontal="center"/>
    </xf>
    <xf numFmtId="9" fontId="118" fillId="0" borderId="0" xfId="4894" applyFont="1" applyFill="1"/>
    <xf numFmtId="9" fontId="118" fillId="0" borderId="0" xfId="4894" applyFont="1" applyFill="1" applyAlignment="1">
      <alignment horizontal="left" indent="6"/>
    </xf>
    <xf numFmtId="0" fontId="0" fillId="0" borderId="0" xfId="0" applyAlignment="1">
      <alignment horizontal="left" indent="6"/>
    </xf>
    <xf numFmtId="1" fontId="1" fillId="0" borderId="0" xfId="4894" applyNumberFormat="1" applyFont="1" applyAlignment="1">
      <alignment horizontal="center"/>
    </xf>
    <xf numFmtId="9" fontId="118" fillId="0" borderId="0" xfId="4894" applyFont="1" applyAlignment="1">
      <alignment horizontal="left" indent="1"/>
    </xf>
    <xf numFmtId="9" fontId="0" fillId="0" borderId="0" xfId="4894" applyFont="1" applyAlignment="1">
      <alignment horizontal="center"/>
    </xf>
    <xf numFmtId="167" fontId="0" fillId="0" borderId="0" xfId="0" applyNumberFormat="1" applyAlignment="1">
      <alignment horizontal="center"/>
    </xf>
    <xf numFmtId="193" fontId="8" fillId="0" borderId="0" xfId="4894" applyNumberFormat="1" applyFont="1" applyAlignment="1">
      <alignment horizontal="center"/>
    </xf>
    <xf numFmtId="2" fontId="118" fillId="0" borderId="0" xfId="0" applyNumberFormat="1" applyFont="1" applyAlignment="1">
      <alignment horizontal="center"/>
    </xf>
    <xf numFmtId="9" fontId="8" fillId="0" borderId="0" xfId="4894" applyFont="1" applyAlignment="1">
      <alignment horizontal="center"/>
    </xf>
    <xf numFmtId="0" fontId="128" fillId="0" borderId="0" xfId="0" applyFont="1" applyAlignment="1">
      <alignment horizontal="left" indent="2"/>
    </xf>
    <xf numFmtId="0" fontId="128" fillId="0" borderId="0" xfId="0" applyFont="1" applyAlignment="1">
      <alignment horizontal="center"/>
    </xf>
    <xf numFmtId="1" fontId="128" fillId="0" borderId="0" xfId="0" applyNumberFormat="1" applyFont="1" applyAlignment="1">
      <alignment horizontal="center"/>
    </xf>
    <xf numFmtId="0" fontId="128" fillId="0" borderId="0" xfId="0" applyFont="1"/>
    <xf numFmtId="9" fontId="118" fillId="0" borderId="0" xfId="0" applyNumberFormat="1" applyFont="1" applyAlignment="1">
      <alignment horizontal="center"/>
    </xf>
    <xf numFmtId="9" fontId="120" fillId="0" borderId="0" xfId="0" applyNumberFormat="1" applyFont="1" applyAlignment="1">
      <alignment horizontal="center"/>
    </xf>
    <xf numFmtId="10" fontId="129" fillId="0" borderId="0" xfId="3728" applyNumberFormat="1" applyFont="1" applyAlignment="1">
      <alignment horizontal="center" vertical="center"/>
    </xf>
    <xf numFmtId="10" fontId="130" fillId="0" borderId="0" xfId="3912" applyNumberFormat="1" applyFont="1" applyFill="1" applyBorder="1" applyAlignment="1">
      <alignment horizontal="center" vertical="center"/>
    </xf>
    <xf numFmtId="10" fontId="130" fillId="15" borderId="0" xfId="3912" applyNumberFormat="1" applyFont="1" applyFill="1" applyBorder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95" fontId="0" fillId="0" borderId="0" xfId="4894" applyNumberFormat="1" applyFont="1" applyAlignment="1">
      <alignment horizontal="center"/>
    </xf>
    <xf numFmtId="196" fontId="118" fillId="0" borderId="0" xfId="4894" applyNumberFormat="1" applyFont="1" applyAlignment="1">
      <alignment horizontal="center"/>
    </xf>
    <xf numFmtId="0" fontId="7" fillId="13" borderId="0" xfId="0" applyFont="1" applyFill="1"/>
    <xf numFmtId="0" fontId="131" fillId="13" borderId="0" xfId="0" applyFont="1" applyFill="1" applyAlignment="1">
      <alignment horizontal="left"/>
    </xf>
    <xf numFmtId="193" fontId="124" fillId="0" borderId="0" xfId="4894" applyNumberFormat="1" applyFont="1"/>
    <xf numFmtId="192" fontId="120" fillId="0" borderId="0" xfId="4894" applyNumberFormat="1" applyFont="1" applyFill="1" applyAlignment="1">
      <alignment horizontal="center"/>
    </xf>
    <xf numFmtId="0" fontId="118" fillId="0" borderId="0" xfId="0" applyFont="1" applyAlignment="1">
      <alignment horizontal="left" indent="1"/>
    </xf>
    <xf numFmtId="3" fontId="14" fillId="0" borderId="0" xfId="0" applyNumberFormat="1" applyFont="1" applyAlignment="1">
      <alignment horizontal="center" wrapText="1"/>
    </xf>
    <xf numFmtId="0" fontId="118" fillId="0" borderId="0" xfId="4894" applyNumberFormat="1" applyFont="1" applyFill="1" applyAlignment="1">
      <alignment horizontal="center"/>
    </xf>
    <xf numFmtId="197" fontId="118" fillId="0" borderId="0" xfId="4894" applyNumberFormat="1" applyFont="1" applyFill="1" applyAlignment="1">
      <alignment horizontal="center"/>
    </xf>
    <xf numFmtId="193" fontId="118" fillId="0" borderId="0" xfId="4894" applyNumberFormat="1" applyFont="1" applyFill="1" applyAlignment="1">
      <alignment horizontal="left" indent="3"/>
    </xf>
    <xf numFmtId="10" fontId="118" fillId="0" borderId="0" xfId="4894" applyNumberFormat="1" applyFont="1" applyAlignment="1">
      <alignment horizontal="left" indent="4"/>
    </xf>
    <xf numFmtId="2" fontId="118" fillId="0" borderId="0" xfId="4894" applyNumberFormat="1" applyFont="1" applyAlignment="1">
      <alignment horizontal="left" indent="6"/>
    </xf>
    <xf numFmtId="2" fontId="118" fillId="0" borderId="0" xfId="4894" applyNumberFormat="1" applyFont="1" applyAlignment="1">
      <alignment horizontal="left" indent="2"/>
    </xf>
    <xf numFmtId="2" fontId="118" fillId="0" borderId="0" xfId="0" applyNumberFormat="1" applyFont="1" applyAlignment="1">
      <alignment horizontal="left" indent="6"/>
    </xf>
    <xf numFmtId="2" fontId="118" fillId="0" borderId="0" xfId="0" applyNumberFormat="1" applyFont="1" applyAlignment="1">
      <alignment horizontal="left" indent="2"/>
    </xf>
    <xf numFmtId="4" fontId="14" fillId="0" borderId="0" xfId="0" applyNumberFormat="1" applyFont="1" applyAlignment="1">
      <alignment horizontal="center"/>
    </xf>
    <xf numFmtId="194" fontId="8" fillId="0" borderId="0" xfId="0" applyNumberFormat="1" applyFont="1" applyAlignment="1">
      <alignment horizontal="center"/>
    </xf>
    <xf numFmtId="10" fontId="119" fillId="0" borderId="0" xfId="4894" applyNumberFormat="1" applyFont="1" applyAlignment="1">
      <alignment horizontal="center"/>
    </xf>
    <xf numFmtId="194" fontId="14" fillId="0" borderId="0" xfId="0" applyNumberFormat="1" applyFont="1" applyAlignment="1">
      <alignment horizontal="center"/>
    </xf>
    <xf numFmtId="194" fontId="17" fillId="0" borderId="0" xfId="0" applyNumberFormat="1" applyFont="1" applyAlignment="1">
      <alignment horizontal="center"/>
    </xf>
    <xf numFmtId="10" fontId="0" fillId="0" borderId="0" xfId="4894" applyNumberFormat="1" applyFont="1"/>
    <xf numFmtId="3" fontId="1" fillId="0" borderId="0" xfId="4894" applyNumberFormat="1" applyFont="1" applyAlignment="1">
      <alignment horizontal="center"/>
    </xf>
    <xf numFmtId="190" fontId="127" fillId="0" borderId="0" xfId="0" applyNumberFormat="1" applyFont="1" applyAlignment="1">
      <alignment horizontal="left" indent="1"/>
    </xf>
    <xf numFmtId="0" fontId="117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10" fillId="0" borderId="8" xfId="0" applyFont="1" applyBorder="1" applyAlignment="1">
      <alignment horizontal="center"/>
    </xf>
    <xf numFmtId="190" fontId="10" fillId="0" borderId="8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190" fontId="14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9" fontId="118" fillId="0" borderId="0" xfId="4894" applyFont="1" applyBorder="1"/>
    <xf numFmtId="9" fontId="118" fillId="0" borderId="0" xfId="4894" applyFont="1" applyBorder="1" applyAlignment="1">
      <alignment horizontal="center"/>
    </xf>
    <xf numFmtId="9" fontId="120" fillId="0" borderId="0" xfId="4894" applyFont="1" applyBorder="1" applyAlignment="1">
      <alignment horizontal="center"/>
    </xf>
    <xf numFmtId="9" fontId="118" fillId="0" borderId="0" xfId="4894" applyFont="1" applyBorder="1" applyAlignment="1">
      <alignment horizontal="left" indent="5"/>
    </xf>
    <xf numFmtId="3" fontId="125" fillId="47" borderId="0" xfId="0" applyNumberFormat="1" applyFont="1" applyFill="1" applyAlignment="1">
      <alignment horizontal="center"/>
    </xf>
    <xf numFmtId="1" fontId="10" fillId="0" borderId="0" xfId="0" applyNumberFormat="1" applyFont="1" applyAlignment="1">
      <alignment horizontal="center"/>
    </xf>
    <xf numFmtId="0" fontId="118" fillId="0" borderId="0" xfId="0" applyFont="1" applyAlignment="1">
      <alignment horizontal="left"/>
    </xf>
    <xf numFmtId="4" fontId="1" fillId="0" borderId="0" xfId="4894" applyNumberFormat="1" applyFont="1" applyFill="1" applyAlignment="1">
      <alignment horizontal="center"/>
    </xf>
    <xf numFmtId="2" fontId="120" fillId="0" borderId="0" xfId="4894" applyNumberFormat="1" applyFont="1" applyFill="1" applyAlignment="1">
      <alignment horizontal="center"/>
    </xf>
    <xf numFmtId="9" fontId="10" fillId="0" borderId="0" xfId="4894" applyFont="1" applyFill="1" applyAlignment="1">
      <alignment horizontal="center"/>
    </xf>
    <xf numFmtId="3" fontId="0" fillId="0" borderId="0" xfId="0" applyNumberFormat="1"/>
    <xf numFmtId="2" fontId="8" fillId="0" borderId="0" xfId="4894" applyNumberFormat="1" applyFont="1" applyAlignment="1">
      <alignment horizontal="center"/>
    </xf>
    <xf numFmtId="190" fontId="118" fillId="0" borderId="0" xfId="4894" applyNumberFormat="1" applyFont="1" applyFill="1" applyAlignment="1">
      <alignment horizontal="center"/>
    </xf>
    <xf numFmtId="193" fontId="8" fillId="0" borderId="0" xfId="0" applyNumberFormat="1" applyFont="1" applyAlignment="1">
      <alignment horizontal="center"/>
    </xf>
    <xf numFmtId="0" fontId="10" fillId="0" borderId="6" xfId="0" applyFont="1" applyBorder="1" applyAlignment="1">
      <alignment horizontal="left" indent="2"/>
    </xf>
    <xf numFmtId="0" fontId="10" fillId="0" borderId="6" xfId="0" applyFont="1" applyBorder="1" applyAlignment="1">
      <alignment horizontal="center"/>
    </xf>
    <xf numFmtId="1" fontId="12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93" fontId="120" fillId="0" borderId="0" xfId="0" applyNumberFormat="1" applyFont="1"/>
    <xf numFmtId="4" fontId="8" fillId="0" borderId="0" xfId="4894" applyNumberFormat="1" applyFont="1" applyFill="1" applyAlignment="1">
      <alignment horizontal="center"/>
    </xf>
    <xf numFmtId="191" fontId="17" fillId="0" borderId="0" xfId="4894" applyNumberFormat="1" applyFont="1" applyFill="1" applyAlignment="1">
      <alignment horizontal="center"/>
    </xf>
    <xf numFmtId="193" fontId="120" fillId="0" borderId="0" xfId="4894" applyNumberFormat="1" applyFont="1"/>
    <xf numFmtId="193" fontId="119" fillId="0" borderId="0" xfId="0" applyNumberFormat="1" applyFont="1"/>
    <xf numFmtId="0" fontId="10" fillId="0" borderId="0" xfId="0" applyFont="1" applyAlignment="1">
      <alignment horizontal="left" indent="5"/>
    </xf>
    <xf numFmtId="193" fontId="119" fillId="0" borderId="0" xfId="4894" applyNumberFormat="1" applyFont="1" applyAlignment="1">
      <alignment horizontal="center"/>
    </xf>
    <xf numFmtId="0" fontId="17" fillId="0" borderId="0" xfId="0" applyFont="1"/>
    <xf numFmtId="198" fontId="0" fillId="0" borderId="0" xfId="0" applyNumberFormat="1"/>
    <xf numFmtId="1" fontId="10" fillId="0" borderId="0" xfId="0" applyNumberFormat="1" applyFont="1"/>
    <xf numFmtId="198" fontId="10" fillId="0" borderId="0" xfId="0" applyNumberFormat="1" applyFont="1" applyAlignment="1">
      <alignment horizontal="center"/>
    </xf>
    <xf numFmtId="198" fontId="10" fillId="0" borderId="0" xfId="0" applyNumberFormat="1" applyFont="1"/>
    <xf numFmtId="199" fontId="0" fillId="0" borderId="0" xfId="0" applyNumberFormat="1"/>
    <xf numFmtId="2" fontId="0" fillId="0" borderId="0" xfId="0" applyNumberFormat="1"/>
    <xf numFmtId="198" fontId="0" fillId="0" borderId="54" xfId="0" applyNumberFormat="1" applyBorder="1"/>
    <xf numFmtId="198" fontId="1" fillId="0" borderId="54" xfId="4894" applyNumberFormat="1" applyFont="1" applyBorder="1"/>
    <xf numFmtId="198" fontId="0" fillId="0" borderId="54" xfId="0" applyNumberFormat="1" applyBorder="1" applyAlignment="1">
      <alignment horizontal="center"/>
    </xf>
    <xf numFmtId="10" fontId="120" fillId="0" borderId="0" xfId="0" applyNumberFormat="1" applyFont="1"/>
    <xf numFmtId="200" fontId="118" fillId="0" borderId="0" xfId="0" applyNumberFormat="1" applyFont="1"/>
    <xf numFmtId="198" fontId="118" fillId="0" borderId="0" xfId="0" applyNumberFormat="1" applyFont="1"/>
    <xf numFmtId="0" fontId="118" fillId="0" borderId="0" xfId="0" applyFont="1" applyAlignment="1">
      <alignment horizontal="center" vertical="center"/>
    </xf>
    <xf numFmtId="37" fontId="0" fillId="0" borderId="0" xfId="0" applyNumberFormat="1"/>
    <xf numFmtId="0" fontId="118" fillId="0" borderId="8" xfId="0" applyFont="1" applyBorder="1"/>
    <xf numFmtId="10" fontId="120" fillId="0" borderId="8" xfId="0" applyNumberFormat="1" applyFont="1" applyBorder="1"/>
    <xf numFmtId="198" fontId="118" fillId="0" borderId="8" xfId="0" applyNumberFormat="1" applyFont="1" applyBorder="1"/>
    <xf numFmtId="0" fontId="118" fillId="0" borderId="8" xfId="0" applyFont="1" applyBorder="1" applyAlignment="1">
      <alignment horizontal="center" vertical="center"/>
    </xf>
    <xf numFmtId="3" fontId="20" fillId="0" borderId="0" xfId="0" applyNumberFormat="1" applyFont="1" applyAlignment="1">
      <alignment horizontal="center"/>
    </xf>
    <xf numFmtId="37" fontId="17" fillId="0" borderId="0" xfId="0" applyNumberFormat="1" applyFont="1"/>
    <xf numFmtId="193" fontId="17" fillId="0" borderId="0" xfId="4894" applyNumberFormat="1" applyFont="1"/>
    <xf numFmtId="198" fontId="17" fillId="0" borderId="0" xfId="0" applyNumberFormat="1" applyFont="1"/>
    <xf numFmtId="0" fontId="0" fillId="0" borderId="54" xfId="0" applyBorder="1"/>
    <xf numFmtId="0" fontId="0" fillId="0" borderId="54" xfId="0" applyBorder="1" applyAlignment="1">
      <alignment horizontal="center"/>
    </xf>
    <xf numFmtId="0" fontId="10" fillId="0" borderId="54" xfId="0" applyFont="1" applyBorder="1"/>
    <xf numFmtId="198" fontId="10" fillId="0" borderId="54" xfId="0" applyNumberFormat="1" applyFont="1" applyBorder="1"/>
    <xf numFmtId="0" fontId="10" fillId="0" borderId="54" xfId="0" applyFont="1" applyBorder="1" applyAlignment="1">
      <alignment horizontal="center"/>
    </xf>
    <xf numFmtId="190" fontId="0" fillId="0" borderId="0" xfId="0" applyNumberFormat="1"/>
    <xf numFmtId="193" fontId="8" fillId="0" borderId="0" xfId="0" applyNumberFormat="1" applyFont="1"/>
    <xf numFmtId="193" fontId="0" fillId="0" borderId="0" xfId="4894" applyNumberFormat="1" applyFont="1"/>
    <xf numFmtId="198" fontId="0" fillId="0" borderId="8" xfId="0" applyNumberFormat="1" applyBorder="1"/>
    <xf numFmtId="37" fontId="0" fillId="0" borderId="8" xfId="0" applyNumberFormat="1" applyBorder="1"/>
    <xf numFmtId="193" fontId="120" fillId="0" borderId="0" xfId="4894" applyNumberFormat="1" applyFont="1" applyAlignment="1">
      <alignment horizontal="right"/>
    </xf>
    <xf numFmtId="198" fontId="118" fillId="0" borderId="0" xfId="0" applyNumberFormat="1" applyFont="1" applyAlignment="1">
      <alignment horizontal="right"/>
    </xf>
    <xf numFmtId="201" fontId="0" fillId="0" borderId="0" xfId="0" applyNumberFormat="1" applyAlignment="1">
      <alignment horizontal="right"/>
    </xf>
    <xf numFmtId="198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198" fontId="0" fillId="0" borderId="8" xfId="0" applyNumberFormat="1" applyBorder="1" applyAlignment="1">
      <alignment horizontal="right"/>
    </xf>
    <xf numFmtId="198" fontId="14" fillId="0" borderId="0" xfId="0" applyNumberFormat="1" applyFont="1" applyAlignment="1">
      <alignment horizontal="right"/>
    </xf>
    <xf numFmtId="198" fontId="133" fillId="0" borderId="0" xfId="0" applyNumberFormat="1" applyFont="1" applyAlignment="1">
      <alignment horizontal="right"/>
    </xf>
    <xf numFmtId="198" fontId="0" fillId="0" borderId="8" xfId="0" applyNumberFormat="1" applyBorder="1" applyAlignment="1">
      <alignment horizontal="right" vertical="center"/>
    </xf>
    <xf numFmtId="198" fontId="0" fillId="0" borderId="0" xfId="0" applyNumberFormat="1" applyAlignment="1">
      <alignment horizontal="center"/>
    </xf>
    <xf numFmtId="0" fontId="10" fillId="0" borderId="8" xfId="0" applyFont="1" applyBorder="1"/>
    <xf numFmtId="165" fontId="10" fillId="0" borderId="8" xfId="0" applyNumberFormat="1" applyFont="1" applyBorder="1" applyAlignment="1">
      <alignment horizontal="center"/>
    </xf>
    <xf numFmtId="0" fontId="10" fillId="0" borderId="8" xfId="0" applyFont="1" applyBorder="1" applyAlignment="1">
      <alignment horizontal="left" indent="2"/>
    </xf>
    <xf numFmtId="0" fontId="10" fillId="0" borderId="8" xfId="0" applyFont="1" applyBorder="1" applyAlignment="1">
      <alignment horizontal="left"/>
    </xf>
    <xf numFmtId="0" fontId="10" fillId="0" borderId="0" xfId="0" applyFont="1" applyAlignment="1">
      <alignment horizontal="left"/>
    </xf>
    <xf numFmtId="198" fontId="10" fillId="0" borderId="8" xfId="0" applyNumberFormat="1" applyFont="1" applyBorder="1" applyAlignment="1">
      <alignment horizontal="center"/>
    </xf>
    <xf numFmtId="165" fontId="132" fillId="0" borderId="8" xfId="0" applyNumberFormat="1" applyFont="1" applyBorder="1" applyAlignment="1">
      <alignment horizontal="center"/>
    </xf>
    <xf numFmtId="0" fontId="134" fillId="0" borderId="0" xfId="0" applyFont="1" applyAlignment="1">
      <alignment horizontal="center"/>
    </xf>
    <xf numFmtId="0" fontId="134" fillId="0" borderId="8" xfId="0" applyFont="1" applyBorder="1" applyAlignment="1">
      <alignment horizontal="center"/>
    </xf>
    <xf numFmtId="0" fontId="0" fillId="0" borderId="8" xfId="0" applyBorder="1" applyAlignment="1">
      <alignment horizontal="left" indent="2"/>
    </xf>
    <xf numFmtId="0" fontId="11" fillId="11" borderId="0" xfId="0" applyFont="1" applyFill="1" applyAlignment="1">
      <alignment horizontal="center" vertical="center"/>
    </xf>
    <xf numFmtId="0" fontId="0" fillId="0" borderId="57" xfId="0" applyBorder="1"/>
    <xf numFmtId="0" fontId="0" fillId="0" borderId="58" xfId="0" applyBorder="1"/>
    <xf numFmtId="0" fontId="136" fillId="0" borderId="56" xfId="0" applyFont="1" applyBorder="1"/>
    <xf numFmtId="0" fontId="0" fillId="0" borderId="60" xfId="0" applyBorder="1"/>
    <xf numFmtId="0" fontId="0" fillId="0" borderId="61" xfId="0" applyBorder="1"/>
    <xf numFmtId="0" fontId="0" fillId="0" borderId="55" xfId="0" applyBorder="1"/>
    <xf numFmtId="0" fontId="135" fillId="0" borderId="59" xfId="0" applyFont="1" applyBorder="1"/>
    <xf numFmtId="190" fontId="132" fillId="0" borderId="54" xfId="0" applyNumberFormat="1" applyFont="1" applyBorder="1" applyAlignment="1">
      <alignment horizontal="right"/>
    </xf>
    <xf numFmtId="190" fontId="10" fillId="0" borderId="54" xfId="0" applyNumberFormat="1" applyFont="1" applyBorder="1" applyAlignment="1">
      <alignment horizontal="right"/>
    </xf>
    <xf numFmtId="190" fontId="16" fillId="0" borderId="54" xfId="0" applyNumberFormat="1" applyFont="1" applyBorder="1" applyAlignment="1">
      <alignment horizontal="right"/>
    </xf>
    <xf numFmtId="201" fontId="10" fillId="0" borderId="54" xfId="0" applyNumberFormat="1" applyFont="1" applyBorder="1" applyAlignment="1">
      <alignment horizontal="right"/>
    </xf>
    <xf numFmtId="165" fontId="125" fillId="0" borderId="6" xfId="0" applyNumberFormat="1" applyFont="1" applyBorder="1" applyAlignment="1">
      <alignment horizontal="center"/>
    </xf>
    <xf numFmtId="193" fontId="0" fillId="0" borderId="0" xfId="0" applyNumberFormat="1"/>
    <xf numFmtId="0" fontId="10" fillId="0" borderId="6" xfId="0" applyFont="1" applyBorder="1" applyAlignment="1">
      <alignment horizontal="left" indent="1"/>
    </xf>
    <xf numFmtId="9" fontId="120" fillId="0" borderId="0" xfId="0" applyNumberFormat="1" applyFont="1"/>
    <xf numFmtId="2" fontId="1" fillId="0" borderId="0" xfId="4894" applyNumberFormat="1" applyFont="1" applyFill="1" applyAlignment="1">
      <alignment horizontal="center"/>
    </xf>
    <xf numFmtId="10" fontId="8" fillId="0" borderId="0" xfId="4894" applyNumberFormat="1" applyFont="1" applyFill="1" applyAlignment="1">
      <alignment horizontal="center"/>
    </xf>
    <xf numFmtId="0" fontId="137" fillId="0" borderId="0" xfId="4896"/>
    <xf numFmtId="0" fontId="138" fillId="0" borderId="0" xfId="0" applyFont="1"/>
    <xf numFmtId="10" fontId="10" fillId="0" borderId="62" xfId="0" applyNumberFormat="1" applyFont="1" applyBorder="1" applyAlignment="1">
      <alignment horizontal="center"/>
    </xf>
    <xf numFmtId="0" fontId="10" fillId="0" borderId="62" xfId="0" applyFont="1" applyBorder="1"/>
    <xf numFmtId="10" fontId="125" fillId="0" borderId="0" xfId="0" applyNumberFormat="1" applyFont="1" applyAlignment="1">
      <alignment horizontal="center"/>
    </xf>
    <xf numFmtId="10" fontId="125" fillId="0" borderId="0" xfId="4894" applyNumberFormat="1" applyFont="1" applyAlignment="1">
      <alignment horizontal="center"/>
    </xf>
    <xf numFmtId="10" fontId="10" fillId="0" borderId="0" xfId="0" applyNumberFormat="1" applyFont="1"/>
    <xf numFmtId="0" fontId="10" fillId="0" borderId="63" xfId="0" applyFont="1" applyBorder="1"/>
    <xf numFmtId="0" fontId="10" fillId="0" borderId="64" xfId="0" applyFont="1" applyBorder="1"/>
    <xf numFmtId="193" fontId="10" fillId="0" borderId="64" xfId="0" applyNumberFormat="1" applyFont="1" applyBorder="1" applyAlignment="1">
      <alignment horizontal="center"/>
    </xf>
    <xf numFmtId="0" fontId="10" fillId="0" borderId="65" xfId="0" applyFont="1" applyBorder="1"/>
    <xf numFmtId="0" fontId="10" fillId="0" borderId="66" xfId="0" applyFont="1" applyBorder="1"/>
    <xf numFmtId="0" fontId="10" fillId="0" borderId="67" xfId="0" applyFont="1" applyBorder="1"/>
    <xf numFmtId="193" fontId="10" fillId="0" borderId="67" xfId="4894" applyNumberFormat="1" applyFont="1" applyBorder="1" applyAlignment="1">
      <alignment horizontal="center"/>
    </xf>
    <xf numFmtId="0" fontId="10" fillId="0" borderId="68" xfId="0" applyFont="1" applyBorder="1"/>
    <xf numFmtId="10" fontId="125" fillId="0" borderId="0" xfId="4894" applyNumberFormat="1" applyFont="1" applyFill="1" applyAlignment="1">
      <alignment horizontal="center"/>
    </xf>
    <xf numFmtId="0" fontId="10" fillId="0" borderId="69" xfId="0" applyFont="1" applyBorder="1"/>
    <xf numFmtId="193" fontId="10" fillId="0" borderId="9" xfId="4894" applyNumberFormat="1" applyFont="1" applyBorder="1" applyAlignment="1">
      <alignment horizontal="center"/>
    </xf>
    <xf numFmtId="0" fontId="10" fillId="0" borderId="70" xfId="0" applyFont="1" applyBorder="1"/>
    <xf numFmtId="0" fontId="0" fillId="0" borderId="71" xfId="0" applyBorder="1"/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72" xfId="0" applyBorder="1" applyAlignment="1">
      <alignment horizontal="left" indent="2"/>
    </xf>
    <xf numFmtId="2" fontId="10" fillId="0" borderId="0" xfId="0" applyNumberFormat="1" applyFont="1" applyAlignment="1">
      <alignment horizontal="center"/>
    </xf>
    <xf numFmtId="9" fontId="132" fillId="0" borderId="71" xfId="0" applyNumberFormat="1" applyFont="1" applyBorder="1" applyAlignment="1">
      <alignment horizontal="center"/>
    </xf>
    <xf numFmtId="10" fontId="132" fillId="0" borderId="71" xfId="0" applyNumberFormat="1" applyFont="1" applyBorder="1" applyAlignment="1">
      <alignment horizontal="center"/>
    </xf>
    <xf numFmtId="0" fontId="10" fillId="14" borderId="0" xfId="0" applyFont="1" applyFill="1" applyAlignment="1">
      <alignment horizontal="center"/>
    </xf>
    <xf numFmtId="0" fontId="10" fillId="14" borderId="72" xfId="0" applyFont="1" applyFill="1" applyBorder="1"/>
    <xf numFmtId="0" fontId="0" fillId="12" borderId="0" xfId="0" applyFill="1"/>
    <xf numFmtId="0" fontId="0" fillId="11" borderId="0" xfId="0" applyFill="1"/>
    <xf numFmtId="2" fontId="0" fillId="0" borderId="76" xfId="0" applyNumberFormat="1" applyBorder="1" applyAlignment="1">
      <alignment horizontal="center"/>
    </xf>
    <xf numFmtId="2" fontId="0" fillId="0" borderId="62" xfId="4894" applyNumberFormat="1" applyFont="1" applyBorder="1" applyAlignment="1">
      <alignment horizontal="center"/>
    </xf>
    <xf numFmtId="190" fontId="0" fillId="0" borderId="62" xfId="0" applyNumberFormat="1" applyBorder="1" applyAlignment="1">
      <alignment horizontal="center"/>
    </xf>
    <xf numFmtId="190" fontId="8" fillId="0" borderId="62" xfId="0" applyNumberFormat="1" applyFont="1" applyBorder="1" applyAlignment="1">
      <alignment horizontal="center"/>
    </xf>
    <xf numFmtId="9" fontId="0" fillId="0" borderId="62" xfId="4894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77" xfId="0" applyBorder="1"/>
    <xf numFmtId="2" fontId="0" fillId="0" borderId="0" xfId="4894" applyNumberFormat="1" applyFont="1" applyAlignment="1">
      <alignment horizontal="center"/>
    </xf>
    <xf numFmtId="191" fontId="0" fillId="0" borderId="0" xfId="0" applyNumberFormat="1" applyAlignment="1">
      <alignment horizontal="center"/>
    </xf>
    <xf numFmtId="0" fontId="0" fillId="48" borderId="0" xfId="0" applyFill="1" applyAlignment="1">
      <alignment horizontal="center"/>
    </xf>
    <xf numFmtId="0" fontId="10" fillId="48" borderId="0" xfId="0" applyFont="1" applyFill="1"/>
    <xf numFmtId="0" fontId="0" fillId="48" borderId="0" xfId="0" applyFill="1"/>
    <xf numFmtId="10" fontId="10" fillId="0" borderId="0" xfId="0" applyNumberFormat="1" applyFont="1" applyAlignment="1">
      <alignment horizontal="center"/>
    </xf>
    <xf numFmtId="193" fontId="10" fillId="0" borderId="0" xfId="4894" applyNumberFormat="1" applyFont="1" applyFill="1" applyBorder="1" applyAlignment="1">
      <alignment horizontal="center"/>
    </xf>
    <xf numFmtId="9" fontId="0" fillId="0" borderId="0" xfId="4894" applyFont="1" applyFill="1" applyBorder="1" applyAlignment="1">
      <alignment horizontal="center"/>
    </xf>
    <xf numFmtId="9" fontId="0" fillId="0" borderId="0" xfId="0" applyNumberFormat="1"/>
    <xf numFmtId="9" fontId="11" fillId="0" borderId="0" xfId="0" applyNumberFormat="1" applyFont="1"/>
    <xf numFmtId="10" fontId="10" fillId="14" borderId="54" xfId="0" applyNumberFormat="1" applyFont="1" applyFill="1" applyBorder="1" applyAlignment="1">
      <alignment horizontal="center"/>
    </xf>
    <xf numFmtId="0" fontId="10" fillId="14" borderId="82" xfId="0" applyFont="1" applyFill="1" applyBorder="1"/>
    <xf numFmtId="202" fontId="118" fillId="0" borderId="0" xfId="0" applyNumberFormat="1" applyFont="1" applyAlignment="1">
      <alignment horizontal="center"/>
    </xf>
    <xf numFmtId="0" fontId="139" fillId="0" borderId="0" xfId="0" applyFont="1"/>
    <xf numFmtId="193" fontId="0" fillId="0" borderId="0" xfId="0" applyNumberFormat="1" applyAlignment="1">
      <alignment horizontal="center"/>
    </xf>
    <xf numFmtId="0" fontId="0" fillId="0" borderId="83" xfId="0" applyBorder="1"/>
    <xf numFmtId="165" fontId="10" fillId="0" borderId="84" xfId="0" applyNumberFormat="1" applyFont="1" applyBorder="1" applyAlignment="1">
      <alignment horizontal="center"/>
    </xf>
    <xf numFmtId="0" fontId="10" fillId="0" borderId="85" xfId="0" applyFont="1" applyBorder="1"/>
    <xf numFmtId="193" fontId="8" fillId="0" borderId="22" xfId="0" applyNumberFormat="1" applyFont="1" applyBorder="1" applyAlignment="1">
      <alignment horizontal="center"/>
    </xf>
    <xf numFmtId="0" fontId="0" fillId="0" borderId="86" xfId="0" applyBorder="1"/>
    <xf numFmtId="10" fontId="0" fillId="0" borderId="22" xfId="0" applyNumberFormat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0" fontId="0" fillId="0" borderId="0" xfId="4894" applyNumberFormat="1" applyFont="1" applyAlignment="1">
      <alignment horizontal="center"/>
    </xf>
    <xf numFmtId="0" fontId="16" fillId="50" borderId="0" xfId="0" applyFont="1" applyFill="1"/>
    <xf numFmtId="0" fontId="16" fillId="48" borderId="0" xfId="0" applyFont="1" applyFill="1"/>
    <xf numFmtId="0" fontId="16" fillId="48" borderId="83" xfId="0" applyFont="1" applyFill="1" applyBorder="1"/>
    <xf numFmtId="164" fontId="7" fillId="50" borderId="0" xfId="0" applyNumberFormat="1" applyFont="1" applyFill="1" applyAlignment="1">
      <alignment horizontal="center"/>
    </xf>
    <xf numFmtId="164" fontId="16" fillId="48" borderId="0" xfId="0" applyNumberFormat="1" applyFont="1" applyFill="1" applyAlignment="1">
      <alignment horizontal="center"/>
    </xf>
    <xf numFmtId="165" fontId="10" fillId="0" borderId="22" xfId="0" applyNumberFormat="1" applyFont="1" applyBorder="1" applyAlignment="1">
      <alignment horizontal="center"/>
    </xf>
    <xf numFmtId="0" fontId="10" fillId="0" borderId="83" xfId="0" applyFont="1" applyBorder="1"/>
    <xf numFmtId="193" fontId="10" fillId="0" borderId="0" xfId="0" applyNumberFormat="1" applyFont="1"/>
    <xf numFmtId="194" fontId="10" fillId="0" borderId="0" xfId="0" applyNumberFormat="1" applyFont="1"/>
    <xf numFmtId="165" fontId="125" fillId="0" borderId="0" xfId="0" applyNumberFormat="1" applyFont="1" applyAlignment="1">
      <alignment horizontal="center"/>
    </xf>
    <xf numFmtId="9" fontId="125" fillId="0" borderId="0" xfId="4894" applyFont="1" applyBorder="1" applyAlignment="1">
      <alignment horizontal="center"/>
    </xf>
    <xf numFmtId="165" fontId="10" fillId="0" borderId="60" xfId="0" applyNumberFormat="1" applyFont="1" applyBorder="1" applyAlignment="1">
      <alignment horizontal="center"/>
    </xf>
    <xf numFmtId="0" fontId="10" fillId="0" borderId="60" xfId="0" applyFont="1" applyBorder="1"/>
    <xf numFmtId="165" fontId="10" fillId="0" borderId="87" xfId="0" applyNumberFormat="1" applyFont="1" applyBorder="1" applyAlignment="1">
      <alignment horizontal="center"/>
    </xf>
    <xf numFmtId="0" fontId="10" fillId="0" borderId="87" xfId="0" applyFont="1" applyBorder="1"/>
    <xf numFmtId="2" fontId="118" fillId="0" borderId="88" xfId="0" applyNumberFormat="1" applyFont="1" applyBorder="1" applyAlignment="1">
      <alignment horizontal="center"/>
    </xf>
    <xf numFmtId="10" fontId="0" fillId="0" borderId="0" xfId="0" applyNumberFormat="1"/>
    <xf numFmtId="10" fontId="16" fillId="0" borderId="78" xfId="0" applyNumberFormat="1" applyFont="1" applyBorder="1" applyAlignment="1">
      <alignment horizontal="center"/>
    </xf>
    <xf numFmtId="0" fontId="16" fillId="0" borderId="79" xfId="0" applyFont="1" applyBorder="1"/>
    <xf numFmtId="165" fontId="0" fillId="51" borderId="88" xfId="0" applyNumberFormat="1" applyFill="1" applyBorder="1" applyAlignment="1">
      <alignment horizontal="center"/>
    </xf>
    <xf numFmtId="14" fontId="140" fillId="0" borderId="0" xfId="0" applyNumberFormat="1" applyFont="1" applyAlignment="1">
      <alignment horizontal="center"/>
    </xf>
    <xf numFmtId="14" fontId="118" fillId="0" borderId="0" xfId="0" applyNumberFormat="1" applyFont="1"/>
    <xf numFmtId="10" fontId="16" fillId="0" borderId="22" xfId="0" applyNumberFormat="1" applyFont="1" applyBorder="1" applyAlignment="1">
      <alignment horizontal="center"/>
    </xf>
    <xf numFmtId="0" fontId="16" fillId="0" borderId="83" xfId="0" applyFont="1" applyBorder="1"/>
    <xf numFmtId="165" fontId="10" fillId="0" borderId="88" xfId="0" applyNumberFormat="1" applyFont="1" applyBorder="1" applyAlignment="1">
      <alignment horizontal="center"/>
    </xf>
    <xf numFmtId="165" fontId="10" fillId="0" borderId="78" xfId="0" applyNumberFormat="1" applyFont="1" applyBorder="1" applyAlignment="1">
      <alignment horizontal="center"/>
    </xf>
    <xf numFmtId="0" fontId="10" fillId="0" borderId="79" xfId="0" applyFont="1" applyBorder="1"/>
    <xf numFmtId="0" fontId="118" fillId="0" borderId="83" xfId="0" applyFont="1" applyBorder="1"/>
    <xf numFmtId="0" fontId="0" fillId="0" borderId="81" xfId="0" applyBorder="1"/>
    <xf numFmtId="165" fontId="10" fillId="0" borderId="89" xfId="0" applyNumberFormat="1" applyFont="1" applyBorder="1" applyAlignment="1">
      <alignment horizontal="center"/>
    </xf>
    <xf numFmtId="165" fontId="0" fillId="0" borderId="88" xfId="0" applyNumberFormat="1" applyBorder="1" applyAlignment="1">
      <alignment horizontal="center"/>
    </xf>
    <xf numFmtId="165" fontId="0" fillId="0" borderId="78" xfId="0" applyNumberFormat="1" applyBorder="1" applyAlignment="1">
      <alignment horizontal="center"/>
    </xf>
    <xf numFmtId="0" fontId="0" fillId="0" borderId="88" xfId="0" applyBorder="1"/>
    <xf numFmtId="0" fontId="10" fillId="0" borderId="89" xfId="0" applyFont="1" applyBorder="1"/>
    <xf numFmtId="44" fontId="0" fillId="47" borderId="80" xfId="4895" applyFont="1" applyFill="1" applyBorder="1" applyAlignment="1">
      <alignment horizontal="center"/>
    </xf>
    <xf numFmtId="0" fontId="118" fillId="0" borderId="88" xfId="0" applyFont="1" applyBorder="1"/>
    <xf numFmtId="0" fontId="10" fillId="0" borderId="88" xfId="0" applyFont="1" applyBorder="1"/>
    <xf numFmtId="165" fontId="0" fillId="0" borderId="90" xfId="0" applyNumberFormat="1" applyBorder="1" applyAlignment="1">
      <alignment horizontal="center"/>
    </xf>
    <xf numFmtId="0" fontId="0" fillId="0" borderId="91" xfId="0" applyBorder="1"/>
    <xf numFmtId="0" fontId="0" fillId="0" borderId="92" xfId="0" applyBorder="1"/>
    <xf numFmtId="1" fontId="0" fillId="0" borderId="90" xfId="0" applyNumberFormat="1" applyBorder="1" applyAlignment="1">
      <alignment horizontal="center"/>
    </xf>
    <xf numFmtId="44" fontId="0" fillId="47" borderId="93" xfId="4895" applyFont="1" applyFill="1" applyBorder="1" applyAlignment="1">
      <alignment horizontal="center"/>
    </xf>
    <xf numFmtId="0" fontId="0" fillId="0" borderId="94" xfId="0" applyBorder="1"/>
    <xf numFmtId="164" fontId="7" fillId="50" borderId="88" xfId="0" applyNumberFormat="1" applyFont="1" applyFill="1" applyBorder="1" applyAlignment="1">
      <alignment horizontal="center"/>
    </xf>
    <xf numFmtId="2" fontId="0" fillId="14" borderId="47" xfId="0" applyNumberFormat="1" applyFill="1" applyBorder="1" applyAlignment="1">
      <alignment horizontal="center"/>
    </xf>
    <xf numFmtId="0" fontId="0" fillId="14" borderId="47" xfId="0" applyFill="1" applyBorder="1"/>
    <xf numFmtId="0" fontId="0" fillId="14" borderId="95" xfId="0" applyFill="1" applyBorder="1"/>
    <xf numFmtId="0" fontId="0" fillId="14" borderId="96" xfId="0" applyFill="1" applyBorder="1"/>
    <xf numFmtId="9" fontId="141" fillId="0" borderId="0" xfId="4894" applyFont="1" applyAlignment="1">
      <alignment horizontal="center"/>
    </xf>
    <xf numFmtId="2" fontId="0" fillId="47" borderId="47" xfId="0" applyNumberFormat="1" applyFill="1" applyBorder="1" applyAlignment="1">
      <alignment horizontal="center"/>
    </xf>
    <xf numFmtId="165" fontId="10" fillId="14" borderId="6" xfId="0" applyNumberFormat="1" applyFont="1" applyFill="1" applyBorder="1" applyAlignment="1">
      <alignment horizontal="center"/>
    </xf>
    <xf numFmtId="165" fontId="0" fillId="14" borderId="0" xfId="0" applyNumberFormat="1" applyFill="1"/>
    <xf numFmtId="164" fontId="13" fillId="52" borderId="0" xfId="0" applyNumberFormat="1" applyFont="1" applyFill="1" applyAlignment="1">
      <alignment horizontal="center"/>
    </xf>
    <xf numFmtId="10" fontId="10" fillId="14" borderId="54" xfId="4894" applyNumberFormat="1" applyFont="1" applyFill="1" applyBorder="1" applyAlignment="1">
      <alignment horizontal="center"/>
    </xf>
    <xf numFmtId="44" fontId="0" fillId="14" borderId="0" xfId="4895" applyFont="1" applyFill="1" applyAlignment="1">
      <alignment horizontal="center"/>
    </xf>
    <xf numFmtId="193" fontId="0" fillId="14" borderId="0" xfId="0" applyNumberFormat="1" applyFill="1" applyAlignment="1">
      <alignment horizontal="center"/>
    </xf>
    <xf numFmtId="10" fontId="0" fillId="14" borderId="0" xfId="0" applyNumberFormat="1" applyFill="1"/>
    <xf numFmtId="193" fontId="0" fillId="14" borderId="0" xfId="4894" applyNumberFormat="1" applyFont="1" applyFill="1" applyAlignment="1">
      <alignment horizontal="center"/>
    </xf>
    <xf numFmtId="44" fontId="0" fillId="14" borderId="0" xfId="4895" applyFont="1" applyFill="1"/>
    <xf numFmtId="204" fontId="0" fillId="0" borderId="0" xfId="0" applyNumberFormat="1"/>
    <xf numFmtId="1" fontId="0" fillId="0" borderId="97" xfId="0" applyNumberFormat="1" applyBorder="1" applyAlignment="1">
      <alignment horizontal="center" vertical="center"/>
    </xf>
    <xf numFmtId="0" fontId="0" fillId="0" borderId="97" xfId="0" applyBorder="1"/>
    <xf numFmtId="0" fontId="0" fillId="0" borderId="98" xfId="0" applyBorder="1"/>
    <xf numFmtId="197" fontId="0" fillId="0" borderId="6" xfId="0" applyNumberFormat="1" applyBorder="1" applyAlignment="1">
      <alignment horizontal="center"/>
    </xf>
    <xf numFmtId="0" fontId="0" fillId="0" borderId="99" xfId="0" applyBorder="1"/>
    <xf numFmtId="0" fontId="0" fillId="0" borderId="100" xfId="0" applyBorder="1"/>
    <xf numFmtId="0" fontId="0" fillId="0" borderId="101" xfId="0" applyBorder="1" applyAlignment="1">
      <alignment horizontal="left" indent="2"/>
    </xf>
    <xf numFmtId="197" fontId="0" fillId="0" borderId="0" xfId="0" applyNumberFormat="1" applyAlignment="1">
      <alignment horizontal="center"/>
    </xf>
    <xf numFmtId="0" fontId="0" fillId="0" borderId="101" xfId="0" applyBorder="1"/>
    <xf numFmtId="44" fontId="10" fillId="48" borderId="0" xfId="4895" applyFont="1" applyFill="1" applyAlignment="1">
      <alignment horizontal="center"/>
    </xf>
    <xf numFmtId="0" fontId="10" fillId="48" borderId="101" xfId="0" applyFont="1" applyFill="1" applyBorder="1" applyAlignment="1">
      <alignment horizontal="left" indent="2"/>
    </xf>
    <xf numFmtId="165" fontId="0" fillId="48" borderId="0" xfId="0" applyNumberFormat="1" applyFill="1" applyAlignment="1">
      <alignment horizontal="center"/>
    </xf>
    <xf numFmtId="0" fontId="0" fillId="48" borderId="101" xfId="0" applyFill="1" applyBorder="1" applyAlignment="1">
      <alignment horizontal="left" indent="2"/>
    </xf>
    <xf numFmtId="197" fontId="0" fillId="48" borderId="0" xfId="0" applyNumberFormat="1" applyFill="1" applyAlignment="1">
      <alignment horizontal="center"/>
    </xf>
    <xf numFmtId="0" fontId="0" fillId="48" borderId="101" xfId="0" applyFill="1" applyBorder="1"/>
    <xf numFmtId="0" fontId="10" fillId="14" borderId="0" xfId="0" applyFont="1" applyFill="1"/>
    <xf numFmtId="44" fontId="10" fillId="14" borderId="0" xfId="4895" applyFont="1" applyFill="1" applyAlignment="1">
      <alignment horizontal="center"/>
    </xf>
    <xf numFmtId="0" fontId="10" fillId="14" borderId="101" xfId="0" applyFont="1" applyFill="1" applyBorder="1" applyAlignment="1">
      <alignment horizontal="left" indent="2"/>
    </xf>
    <xf numFmtId="0" fontId="0" fillId="14" borderId="0" xfId="0" applyFill="1"/>
    <xf numFmtId="0" fontId="0" fillId="14" borderId="101" xfId="0" applyFill="1" applyBorder="1" applyAlignment="1">
      <alignment horizontal="left" indent="2"/>
    </xf>
    <xf numFmtId="197" fontId="0" fillId="14" borderId="0" xfId="0" applyNumberFormat="1" applyFill="1" applyAlignment="1">
      <alignment horizontal="center"/>
    </xf>
    <xf numFmtId="0" fontId="0" fillId="14" borderId="101" xfId="0" applyFill="1" applyBorder="1"/>
    <xf numFmtId="205" fontId="10" fillId="48" borderId="0" xfId="4895" applyNumberFormat="1" applyFont="1" applyFill="1" applyAlignment="1">
      <alignment horizontal="center"/>
    </xf>
    <xf numFmtId="192" fontId="0" fillId="0" borderId="0" xfId="0" applyNumberFormat="1" applyAlignment="1">
      <alignment horizontal="center"/>
    </xf>
    <xf numFmtId="0" fontId="0" fillId="0" borderId="67" xfId="0" applyBorder="1"/>
    <xf numFmtId="192" fontId="0" fillId="0" borderId="67" xfId="0" applyNumberFormat="1" applyBorder="1" applyAlignment="1">
      <alignment horizontal="center"/>
    </xf>
    <xf numFmtId="0" fontId="0" fillId="0" borderId="102" xfId="0" applyBorder="1"/>
    <xf numFmtId="0" fontId="0" fillId="14" borderId="0" xfId="0" applyFill="1" applyAlignment="1">
      <alignment horizontal="center"/>
    </xf>
    <xf numFmtId="3" fontId="0" fillId="14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97" fontId="0" fillId="15" borderId="0" xfId="0" applyNumberFormat="1" applyFill="1" applyAlignment="1">
      <alignment horizontal="center"/>
    </xf>
    <xf numFmtId="0" fontId="0" fillId="48" borderId="0" xfId="0" applyFill="1" applyAlignment="1">
      <alignment horizontal="center" vertical="center"/>
    </xf>
    <xf numFmtId="0" fontId="0" fillId="13" borderId="0" xfId="0" applyFill="1"/>
    <xf numFmtId="0" fontId="7" fillId="13" borderId="0" xfId="0" applyFont="1" applyFill="1" applyAlignment="1">
      <alignment horizontal="left" indent="1"/>
    </xf>
    <xf numFmtId="197" fontId="0" fillId="0" borderId="62" xfId="0" applyNumberFormat="1" applyBorder="1" applyAlignment="1">
      <alignment horizontal="center"/>
    </xf>
    <xf numFmtId="3" fontId="0" fillId="0" borderId="62" xfId="0" applyNumberFormat="1" applyBorder="1" applyAlignment="1">
      <alignment horizontal="center"/>
    </xf>
    <xf numFmtId="197" fontId="142" fillId="0" borderId="0" xfId="0" applyNumberFormat="1" applyFont="1" applyAlignment="1">
      <alignment horizontal="center"/>
    </xf>
    <xf numFmtId="0" fontId="143" fillId="11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left" indent="1"/>
    </xf>
    <xf numFmtId="0" fontId="0" fillId="0" borderId="107" xfId="0" applyBorder="1"/>
    <xf numFmtId="0" fontId="0" fillId="0" borderId="112" xfId="0" applyBorder="1"/>
    <xf numFmtId="0" fontId="10" fillId="54" borderId="113" xfId="0" applyFont="1" applyFill="1" applyBorder="1"/>
    <xf numFmtId="0" fontId="10" fillId="54" borderId="114" xfId="0" applyFont="1" applyFill="1" applyBorder="1"/>
    <xf numFmtId="2" fontId="0" fillId="53" borderId="62" xfId="0" applyNumberFormat="1" applyFill="1" applyBorder="1" applyAlignment="1">
      <alignment horizontal="center"/>
    </xf>
    <xf numFmtId="0" fontId="0" fillId="53" borderId="0" xfId="0" applyFill="1" applyAlignment="1">
      <alignment wrapText="1"/>
    </xf>
    <xf numFmtId="0" fontId="137" fillId="55" borderId="0" xfId="4896" applyFill="1"/>
    <xf numFmtId="0" fontId="0" fillId="49" borderId="0" xfId="0" applyFill="1"/>
    <xf numFmtId="44" fontId="0" fillId="0" borderId="6" xfId="4895" applyFont="1" applyBorder="1" applyAlignment="1">
      <alignment horizontal="center"/>
    </xf>
    <xf numFmtId="193" fontId="0" fillId="14" borderId="0" xfId="0" applyNumberFormat="1" applyFill="1"/>
    <xf numFmtId="44" fontId="0" fillId="14" borderId="0" xfId="0" applyNumberFormat="1" applyFill="1"/>
    <xf numFmtId="193" fontId="0" fillId="14" borderId="0" xfId="4894" applyNumberFormat="1" applyFont="1" applyFill="1"/>
    <xf numFmtId="10" fontId="0" fillId="14" borderId="0" xfId="4894" applyNumberFormat="1" applyFont="1" applyFill="1"/>
    <xf numFmtId="44" fontId="17" fillId="14" borderId="0" xfId="4895" applyFont="1" applyFill="1"/>
    <xf numFmtId="0" fontId="0" fillId="0" borderId="0" xfId="0" applyAlignment="1">
      <alignment horizontal="right"/>
    </xf>
    <xf numFmtId="0" fontId="0" fillId="0" borderId="115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47" xfId="0" applyBorder="1" applyAlignment="1">
      <alignment horizontal="center"/>
    </xf>
    <xf numFmtId="0" fontId="143" fillId="13" borderId="111" xfId="0" applyFont="1" applyFill="1" applyBorder="1"/>
    <xf numFmtId="0" fontId="143" fillId="13" borderId="104" xfId="0" applyFont="1" applyFill="1" applyBorder="1"/>
    <xf numFmtId="0" fontId="128" fillId="0" borderId="107" xfId="0" applyFont="1" applyBorder="1"/>
    <xf numFmtId="0" fontId="128" fillId="0" borderId="106" xfId="0" applyFont="1" applyBorder="1"/>
    <xf numFmtId="0" fontId="128" fillId="0" borderId="105" xfId="0" applyFont="1" applyBorder="1"/>
    <xf numFmtId="0" fontId="128" fillId="54" borderId="0" xfId="0" applyFont="1" applyFill="1"/>
    <xf numFmtId="0" fontId="128" fillId="0" borderId="33" xfId="0" applyFont="1" applyBorder="1"/>
    <xf numFmtId="0" fontId="128" fillId="0" borderId="0" xfId="0" applyFont="1" applyAlignment="1">
      <alignment horizontal="center" vertical="center"/>
    </xf>
    <xf numFmtId="0" fontId="128" fillId="0" borderId="33" xfId="0" applyFont="1" applyBorder="1" applyAlignment="1">
      <alignment horizontal="center" vertical="center"/>
    </xf>
    <xf numFmtId="0" fontId="128" fillId="0" borderId="0" xfId="4894" applyNumberFormat="1" applyFont="1" applyBorder="1" applyAlignment="1">
      <alignment horizontal="center" vertical="center"/>
    </xf>
    <xf numFmtId="0" fontId="128" fillId="0" borderId="33" xfId="4894" applyNumberFormat="1" applyFont="1" applyBorder="1" applyAlignment="1">
      <alignment horizontal="center" vertical="center"/>
    </xf>
    <xf numFmtId="0" fontId="143" fillId="13" borderId="103" xfId="0" applyFont="1" applyFill="1" applyBorder="1"/>
    <xf numFmtId="0" fontId="144" fillId="0" borderId="60" xfId="4894" applyNumberFormat="1" applyFont="1" applyBorder="1" applyAlignment="1">
      <alignment horizontal="center" vertical="center"/>
    </xf>
    <xf numFmtId="0" fontId="144" fillId="0" borderId="61" xfId="4894" applyNumberFormat="1" applyFont="1" applyBorder="1" applyAlignment="1">
      <alignment horizontal="center" vertical="center"/>
    </xf>
    <xf numFmtId="2" fontId="128" fillId="0" borderId="0" xfId="0" applyNumberFormat="1" applyFont="1" applyAlignment="1">
      <alignment horizontal="center" vertical="center"/>
    </xf>
    <xf numFmtId="2" fontId="128" fillId="0" borderId="33" xfId="0" applyNumberFormat="1" applyFont="1" applyBorder="1" applyAlignment="1">
      <alignment horizontal="center" vertical="center"/>
    </xf>
    <xf numFmtId="2" fontId="128" fillId="0" borderId="0" xfId="4894" applyNumberFormat="1" applyFont="1" applyBorder="1" applyAlignment="1">
      <alignment horizontal="center" vertical="center"/>
    </xf>
    <xf numFmtId="2" fontId="128" fillId="0" borderId="33" xfId="4894" applyNumberFormat="1" applyFont="1" applyBorder="1" applyAlignment="1">
      <alignment horizontal="center" vertical="center"/>
    </xf>
    <xf numFmtId="2" fontId="144" fillId="0" borderId="60" xfId="4894" applyNumberFormat="1" applyFont="1" applyBorder="1" applyAlignment="1">
      <alignment horizontal="center" vertical="center"/>
    </xf>
    <xf numFmtId="2" fontId="144" fillId="0" borderId="61" xfId="4894" applyNumberFormat="1" applyFont="1" applyBorder="1" applyAlignment="1">
      <alignment horizontal="center" vertical="center"/>
    </xf>
    <xf numFmtId="0" fontId="143" fillId="13" borderId="108" xfId="0" applyFont="1" applyFill="1" applyBorder="1"/>
    <xf numFmtId="4" fontId="128" fillId="0" borderId="0" xfId="0" applyNumberFormat="1" applyFont="1" applyAlignment="1">
      <alignment horizontal="center" vertical="center"/>
    </xf>
    <xf numFmtId="4" fontId="128" fillId="0" borderId="33" xfId="0" applyNumberFormat="1" applyFont="1" applyBorder="1" applyAlignment="1">
      <alignment horizontal="center" vertical="center"/>
    </xf>
    <xf numFmtId="4" fontId="128" fillId="0" borderId="0" xfId="4894" applyNumberFormat="1" applyFont="1" applyBorder="1" applyAlignment="1">
      <alignment horizontal="center" vertical="center"/>
    </xf>
    <xf numFmtId="4" fontId="128" fillId="0" borderId="33" xfId="4894" applyNumberFormat="1" applyFont="1" applyBorder="1" applyAlignment="1">
      <alignment horizontal="center" vertical="center"/>
    </xf>
    <xf numFmtId="4" fontId="144" fillId="0" borderId="60" xfId="4894" applyNumberFormat="1" applyFont="1" applyBorder="1" applyAlignment="1">
      <alignment horizontal="center" vertical="center"/>
    </xf>
    <xf numFmtId="4" fontId="144" fillId="0" borderId="61" xfId="4894" applyNumberFormat="1" applyFont="1" applyBorder="1" applyAlignment="1">
      <alignment horizontal="center" vertical="center"/>
    </xf>
    <xf numFmtId="0" fontId="143" fillId="13" borderId="110" xfId="0" applyFont="1" applyFill="1" applyBorder="1" applyAlignment="1">
      <alignment horizontal="center" vertical="center"/>
    </xf>
    <xf numFmtId="0" fontId="143" fillId="13" borderId="109" xfId="0" applyFont="1" applyFill="1" applyBorder="1" applyAlignment="1">
      <alignment horizontal="center" vertical="center"/>
    </xf>
    <xf numFmtId="0" fontId="0" fillId="48" borderId="6" xfId="0" applyFill="1" applyBorder="1" applyAlignment="1">
      <alignment horizontal="center"/>
    </xf>
    <xf numFmtId="0" fontId="11" fillId="11" borderId="6" xfId="0" applyFont="1" applyFill="1" applyBorder="1" applyAlignment="1">
      <alignment horizontal="center"/>
    </xf>
    <xf numFmtId="0" fontId="0" fillId="48" borderId="0" xfId="0" applyFill="1" applyAlignment="1">
      <alignment horizontal="center" vertical="center"/>
    </xf>
    <xf numFmtId="0" fontId="0" fillId="0" borderId="0" xfId="0"/>
    <xf numFmtId="0" fontId="7" fillId="11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6" fillId="49" borderId="0" xfId="0" applyFont="1" applyFill="1" applyAlignment="1">
      <alignment horizontal="center" vertical="center"/>
    </xf>
    <xf numFmtId="0" fontId="16" fillId="0" borderId="0" xfId="0" applyFont="1" applyAlignment="1">
      <alignment horizontal="left"/>
    </xf>
    <xf numFmtId="0" fontId="16" fillId="49" borderId="81" xfId="0" applyFont="1" applyFill="1" applyBorder="1" applyAlignment="1">
      <alignment horizontal="center"/>
    </xf>
    <xf numFmtId="0" fontId="16" fillId="49" borderId="80" xfId="0" applyFont="1" applyFill="1" applyBorder="1" applyAlignment="1">
      <alignment horizontal="center"/>
    </xf>
    <xf numFmtId="9" fontId="10" fillId="0" borderId="79" xfId="0" applyNumberFormat="1" applyFont="1" applyBorder="1" applyAlignment="1">
      <alignment horizontal="center"/>
    </xf>
    <xf numFmtId="9" fontId="10" fillId="0" borderId="78" xfId="0" applyNumberFormat="1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10" fillId="0" borderId="89" xfId="0" applyFont="1" applyBorder="1" applyAlignment="1">
      <alignment horizontal="center"/>
    </xf>
    <xf numFmtId="0" fontId="10" fillId="49" borderId="0" xfId="0" applyFont="1" applyFill="1" applyAlignment="1">
      <alignment horizontal="center" vertical="center"/>
    </xf>
    <xf numFmtId="0" fontId="10" fillId="49" borderId="0" xfId="0" applyFont="1" applyFill="1" applyAlignment="1">
      <alignment horizontal="center"/>
    </xf>
    <xf numFmtId="0" fontId="16" fillId="48" borderId="83" xfId="0" applyFont="1" applyFill="1" applyBorder="1" applyAlignment="1">
      <alignment horizontal="left"/>
    </xf>
    <xf numFmtId="0" fontId="16" fillId="48" borderId="22" xfId="0" applyFont="1" applyFill="1" applyBorder="1" applyAlignment="1">
      <alignment horizontal="left"/>
    </xf>
    <xf numFmtId="0" fontId="7" fillId="11" borderId="81" xfId="0" applyFont="1" applyFill="1" applyBorder="1" applyAlignment="1">
      <alignment horizontal="center"/>
    </xf>
    <xf numFmtId="0" fontId="7" fillId="11" borderId="80" xfId="0" applyFont="1" applyFill="1" applyBorder="1" applyAlignment="1">
      <alignment horizontal="center"/>
    </xf>
    <xf numFmtId="0" fontId="7" fillId="11" borderId="75" xfId="0" applyFont="1" applyFill="1" applyBorder="1" applyAlignment="1">
      <alignment horizontal="center"/>
    </xf>
    <xf numFmtId="0" fontId="7" fillId="11" borderId="74" xfId="0" applyFont="1" applyFill="1" applyBorder="1" applyAlignment="1">
      <alignment horizontal="center"/>
    </xf>
    <xf numFmtId="0" fontId="7" fillId="11" borderId="73" xfId="0" applyFont="1" applyFill="1" applyBorder="1" applyAlignment="1">
      <alignment horizontal="center"/>
    </xf>
    <xf numFmtId="0" fontId="10" fillId="14" borderId="0" xfId="0" applyFont="1" applyFill="1" applyAlignment="1">
      <alignment horizontal="left"/>
    </xf>
    <xf numFmtId="0" fontId="10" fillId="14" borderId="71" xfId="0" applyFont="1" applyFill="1" applyBorder="1" applyAlignment="1">
      <alignment horizontal="left"/>
    </xf>
    <xf numFmtId="0" fontId="137" fillId="0" borderId="0" xfId="4896" applyAlignment="1">
      <alignment horizontal="left" vertical="center"/>
    </xf>
  </cellXfs>
  <cellStyles count="4897">
    <cellStyle name="20% - Accent1" xfId="57" builtinId="30" customBuiltin="1"/>
    <cellStyle name="20% - Accent1 2" xfId="225" xr:uid="{B8970DCB-1D3D-4700-A043-24ED4A47C8B1}"/>
    <cellStyle name="20% - Accent1 2 10" xfId="2259" xr:uid="{15161BD1-6F44-48A1-A8B3-E22F26F94532}"/>
    <cellStyle name="20% - Accent1 2 11" xfId="2260" xr:uid="{4FCA6483-93C6-4F06-8AF9-6EDBC8CEB0B2}"/>
    <cellStyle name="20% - Accent1 2 12" xfId="2261" xr:uid="{32C67261-5205-4EA7-B77C-ED34B7E599BB}"/>
    <cellStyle name="20% - Accent1 2 2" xfId="226" xr:uid="{11FA82D6-58D5-4683-8B8B-22FE21468606}"/>
    <cellStyle name="20% - Accent1 2 3" xfId="227" xr:uid="{F2F3C14B-9BB6-4BB2-B520-3B3FD6E20AD0}"/>
    <cellStyle name="20% - Accent1 2 4" xfId="228" xr:uid="{F6F3F412-84F3-4308-840D-04A89703DE99}"/>
    <cellStyle name="20% - Accent1 2 5" xfId="229" xr:uid="{61353C0E-2BBE-442F-BA98-640006C0CC60}"/>
    <cellStyle name="20% - Accent1 2 6" xfId="230" xr:uid="{2924CAB0-4911-4C13-BB3C-85353BC0B310}"/>
    <cellStyle name="20% - Accent1 2 7" xfId="231" xr:uid="{86281BF9-294F-4185-BB60-EE78E185DA87}"/>
    <cellStyle name="20% - Accent1 2 8" xfId="2262" xr:uid="{3B07B849-E120-4CDF-985A-EB117CD09F8B}"/>
    <cellStyle name="20% - Accent1 2 9" xfId="2263" xr:uid="{B1E12B46-08ED-44E9-8471-189EBF51C221}"/>
    <cellStyle name="20% - Accent1 2_ContasExternas" xfId="2264" xr:uid="{424CFCDA-1839-4F1A-ABF1-BA40CDF2AEE8}"/>
    <cellStyle name="20% - Accent1 3" xfId="232" xr:uid="{48F6519E-C607-4F52-ADF2-C187CC0411BF}"/>
    <cellStyle name="20% - Accent1 3 10" xfId="2265" xr:uid="{04497C19-667E-4E6B-A22E-1A2B9AD28A9E}"/>
    <cellStyle name="20% - Accent1 3 11" xfId="2266" xr:uid="{5E973A60-90F2-45A5-BF58-3A04AD4DBC29}"/>
    <cellStyle name="20% - Accent1 3 12" xfId="2267" xr:uid="{98E13EA8-39DE-4C14-847B-7962BD39759C}"/>
    <cellStyle name="20% - Accent1 3 2" xfId="233" xr:uid="{12DA93E5-9541-4005-B4C2-D53DA51DCE02}"/>
    <cellStyle name="20% - Accent1 3 3" xfId="234" xr:uid="{394E885B-A15C-4311-A63B-901FC6BE359B}"/>
    <cellStyle name="20% - Accent1 3 4" xfId="235" xr:uid="{F64C8C61-F99F-4A66-9A93-BDAD31DBE1A1}"/>
    <cellStyle name="20% - Accent1 3 5" xfId="236" xr:uid="{C23E289D-05F4-486E-B857-F15D828341DC}"/>
    <cellStyle name="20% - Accent1 3 6" xfId="237" xr:uid="{C205E4CA-43BC-4697-9DF0-2506EA6C0603}"/>
    <cellStyle name="20% - Accent1 3 7" xfId="238" xr:uid="{56856867-1D76-4356-A5E1-C4B9C22AEBD6}"/>
    <cellStyle name="20% - Accent1 3 8" xfId="2268" xr:uid="{08FB6772-0F27-4BD7-AB5B-1A3A8B39DE2E}"/>
    <cellStyle name="20% - Accent1 3 9" xfId="2269" xr:uid="{3434C3CF-2869-4955-A341-067C2C2140FC}"/>
    <cellStyle name="20% - Accent1 3_ContasExternas" xfId="2270" xr:uid="{0237541E-AB8B-4A03-90F3-0360A0C1A626}"/>
    <cellStyle name="20% - Accent1 4" xfId="239" xr:uid="{1E17C307-7D45-4802-9AD7-8AA646B588A9}"/>
    <cellStyle name="20% - Accent1 4 10" xfId="2271" xr:uid="{76764DE9-38DB-46FF-9895-6ECBF07A6C2F}"/>
    <cellStyle name="20% - Accent1 4 11" xfId="2272" xr:uid="{5B7078A8-79BC-435F-BD83-6398B0DC98D6}"/>
    <cellStyle name="20% - Accent1 4 12" xfId="2273" xr:uid="{05C1BD6E-91BF-4440-ABA8-FECAFD5019AC}"/>
    <cellStyle name="20% - Accent1 4 2" xfId="240" xr:uid="{7455C52C-0AB3-4AE0-9A73-16AFEEE30481}"/>
    <cellStyle name="20% - Accent1 4 3" xfId="241" xr:uid="{3012F0BA-6056-43B5-BC64-B599286716BD}"/>
    <cellStyle name="20% - Accent1 4 4" xfId="242" xr:uid="{B37CFBC8-74BB-45D3-8F14-7EB08CE23E22}"/>
    <cellStyle name="20% - Accent1 4 5" xfId="243" xr:uid="{0199EDBC-5C9F-46C2-8C26-E9D5F60BE22E}"/>
    <cellStyle name="20% - Accent1 4 6" xfId="244" xr:uid="{78C309D0-937D-4B6F-A712-3978FBDFCB8A}"/>
    <cellStyle name="20% - Accent1 4 7" xfId="245" xr:uid="{D81BAA2A-88FE-422D-8051-33E265C2B0E0}"/>
    <cellStyle name="20% - Accent1 4 8" xfId="2274" xr:uid="{A3E195FD-AA82-483C-81AE-C29F8AB8747C}"/>
    <cellStyle name="20% - Accent1 4 9" xfId="2275" xr:uid="{A0789633-1F3C-4ED8-8958-7B549601508D}"/>
    <cellStyle name="20% - Accent1 4_ContasExternas" xfId="2276" xr:uid="{1782BB0F-E5D1-4FBE-AE20-0A4E635FAD60}"/>
    <cellStyle name="20% - Accent1 5" xfId="246" xr:uid="{78CEDA19-D10E-4D85-92C8-2F91E705E1FD}"/>
    <cellStyle name="20% - Accent1 5 10" xfId="2277" xr:uid="{1AF94AF6-15FB-4B52-980E-798FE1A33418}"/>
    <cellStyle name="20% - Accent1 5 11" xfId="2278" xr:uid="{03143BB0-CE8A-4497-AAC3-BBB210E9E46A}"/>
    <cellStyle name="20% - Accent1 5 12" xfId="2279" xr:uid="{9C231AB1-D277-445C-9954-0A4986156B08}"/>
    <cellStyle name="20% - Accent1 5 2" xfId="247" xr:uid="{F0658F13-D832-41E1-A3CB-58BD4C04FAAE}"/>
    <cellStyle name="20% - Accent1 5 3" xfId="248" xr:uid="{CC6261A0-68B2-45FD-944B-65255F94F94E}"/>
    <cellStyle name="20% - Accent1 5 4" xfId="249" xr:uid="{C6B11723-3ED1-44D6-A11F-BA7842827611}"/>
    <cellStyle name="20% - Accent1 5 5" xfId="250" xr:uid="{47AF65F0-D6A5-42E2-8237-AC765AA4DDCD}"/>
    <cellStyle name="20% - Accent1 5 6" xfId="251" xr:uid="{D7B448C5-986B-4762-A126-D237D59844DC}"/>
    <cellStyle name="20% - Accent1 5 7" xfId="252" xr:uid="{401D9C4C-63EB-47F5-BB75-66B3251AE9BE}"/>
    <cellStyle name="20% - Accent1 5 8" xfId="2280" xr:uid="{8CA04704-4FF6-4AB4-8AF0-C7E554F5DB20}"/>
    <cellStyle name="20% - Accent1 5 9" xfId="2281" xr:uid="{09F9E0CA-008B-4E18-95DA-4F6001BB0F73}"/>
    <cellStyle name="20% - Accent1 5_ContasExternas" xfId="2282" xr:uid="{4BE7EFD9-014D-47F3-B4DF-1044EEDB6AA3}"/>
    <cellStyle name="20% - Accent1 6" xfId="253" xr:uid="{A8B3B901-CD4D-4025-A58F-F238A0CE0E6C}"/>
    <cellStyle name="20% - Accent1 6 10" xfId="2283" xr:uid="{E4163218-F88F-4526-BA23-8B0BA2692B04}"/>
    <cellStyle name="20% - Accent1 6 11" xfId="2284" xr:uid="{EC6EF874-ED77-4468-8337-ACCB42F1976C}"/>
    <cellStyle name="20% - Accent1 6 12" xfId="2285" xr:uid="{BD013F05-32C8-412F-B755-8759424F2163}"/>
    <cellStyle name="20% - Accent1 6 2" xfId="254" xr:uid="{41709864-3F47-4E40-866E-9479D839877E}"/>
    <cellStyle name="20% - Accent1 6 3" xfId="255" xr:uid="{43CF7E49-1D0A-4169-A7D2-3505F7A86711}"/>
    <cellStyle name="20% - Accent1 6 4" xfId="256" xr:uid="{DC4EE1A0-2D68-475D-B538-D1350EE6A376}"/>
    <cellStyle name="20% - Accent1 6 5" xfId="257" xr:uid="{82C4AC54-7992-493B-AF77-6B7F5D69457A}"/>
    <cellStyle name="20% - Accent1 6 6" xfId="258" xr:uid="{07BD0F52-AC64-4D83-BFFA-5A307D49F05A}"/>
    <cellStyle name="20% - Accent1 6 7" xfId="259" xr:uid="{DCDDAE2C-FAB5-4BA4-8010-DE4CAF6C486B}"/>
    <cellStyle name="20% - Accent1 6 8" xfId="2286" xr:uid="{9E004441-CB88-45BD-8E19-7D1ADE9DFF34}"/>
    <cellStyle name="20% - Accent1 6 9" xfId="2287" xr:uid="{3A00461E-D12E-4A40-92E4-EBEBCC02DD7C}"/>
    <cellStyle name="20% - Accent1 6_ContasExternas" xfId="2288" xr:uid="{C484B6F2-B710-401B-A34F-7503A5FF5664}"/>
    <cellStyle name="20% - Accent1 7" xfId="260" xr:uid="{0BFA0F7D-62FF-4F1A-8991-7BFAB8899BD8}"/>
    <cellStyle name="20% - Accent1 7 10" xfId="2289" xr:uid="{E9CC8311-1C85-40B3-8FDC-2C925C47645A}"/>
    <cellStyle name="20% - Accent1 7 11" xfId="2290" xr:uid="{F0ADA189-8B6F-4530-B4B7-7421888F0AB8}"/>
    <cellStyle name="20% - Accent1 7 12" xfId="2291" xr:uid="{95D3149E-A413-467B-B3E8-D5DDEDA262D4}"/>
    <cellStyle name="20% - Accent1 7 2" xfId="261" xr:uid="{23678C23-AD42-4292-8390-07F1DB086098}"/>
    <cellStyle name="20% - Accent1 7 3" xfId="262" xr:uid="{DE0541E2-E9BF-4055-A0FB-99EBC6876DB5}"/>
    <cellStyle name="20% - Accent1 7 4" xfId="263" xr:uid="{5DCE9985-824F-4303-A03E-054925C6F1FD}"/>
    <cellStyle name="20% - Accent1 7 5" xfId="264" xr:uid="{D1281A27-12D7-40CA-A33A-5331724CE79A}"/>
    <cellStyle name="20% - Accent1 7 6" xfId="265" xr:uid="{D8C36E6C-D8DB-481C-AE9A-6CEB9A7E7EE9}"/>
    <cellStyle name="20% - Accent1 7 7" xfId="266" xr:uid="{467170D5-E273-467D-967B-3DD5B123C754}"/>
    <cellStyle name="20% - Accent1 7 8" xfId="2292" xr:uid="{46130162-9862-4949-ADDC-E53F830E631A}"/>
    <cellStyle name="20% - Accent1 7 9" xfId="2293" xr:uid="{219A57F6-3AB0-4DB3-910E-31F0221C2608}"/>
    <cellStyle name="20% - Accent1 7_ContasExternas" xfId="2294" xr:uid="{32B996DA-7E33-4E69-8C30-9E72C1D1839C}"/>
    <cellStyle name="20% - Accent1 8" xfId="267" xr:uid="{F1739FF1-C4F5-411B-A981-894C3941268F}"/>
    <cellStyle name="20% - Accent1 8 10" xfId="2295" xr:uid="{3B3D5A78-0D6C-4CD3-8E49-5B7CEFACAC81}"/>
    <cellStyle name="20% - Accent1 8 11" xfId="2296" xr:uid="{106E3864-7AD6-4BF0-ADDC-E3469D88CBD6}"/>
    <cellStyle name="20% - Accent1 8 12" xfId="2297" xr:uid="{32B1E854-67FF-4EA8-92D3-9C0F0DD2848E}"/>
    <cellStyle name="20% - Accent1 8 2" xfId="268" xr:uid="{E2E83CCC-4E18-474F-B380-59CD05611CDE}"/>
    <cellStyle name="20% - Accent1 8 3" xfId="269" xr:uid="{03348B5B-4F72-473B-9B5F-30B81C327F8E}"/>
    <cellStyle name="20% - Accent1 8 4" xfId="270" xr:uid="{D6FDB10D-E17D-4DFA-B17C-BCFE769B9605}"/>
    <cellStyle name="20% - Accent1 8 5" xfId="271" xr:uid="{F38E5AE8-890D-4825-98C5-37B2AB066DB8}"/>
    <cellStyle name="20% - Accent1 8 6" xfId="272" xr:uid="{FADFA440-D60D-4A42-819D-A117F4640C31}"/>
    <cellStyle name="20% - Accent1 8 7" xfId="273" xr:uid="{3802A61F-E660-46E6-BE3F-FDB1160767AB}"/>
    <cellStyle name="20% - Accent1 8 8" xfId="2298" xr:uid="{077B4FE3-86F2-4BC0-B149-B057C9BF86C6}"/>
    <cellStyle name="20% - Accent1 8 9" xfId="2299" xr:uid="{3EBFBA9C-0763-4CCB-BB3C-8E6CE56C9C45}"/>
    <cellStyle name="20% - Accent1 8_ContasExternas" xfId="2300" xr:uid="{0E529990-26D2-4E2A-A2D9-D0E1EF475DD4}"/>
    <cellStyle name="20% - Accent1 9" xfId="2301" xr:uid="{7E32A279-831A-452E-8C66-155F6CA41DC0}"/>
    <cellStyle name="20% - Accent2" xfId="58" builtinId="34" customBuiltin="1"/>
    <cellStyle name="20% - Accent2 2" xfId="274" xr:uid="{B42649A4-C2E3-4EBF-9DA1-B325576286F5}"/>
    <cellStyle name="20% - Accent2 2 10" xfId="2302" xr:uid="{05720551-7456-4A04-9166-14CC0790DFDF}"/>
    <cellStyle name="20% - Accent2 2 11" xfId="2303" xr:uid="{A330FB6C-E78F-4F90-AB84-661B16848C55}"/>
    <cellStyle name="20% - Accent2 2 12" xfId="2304" xr:uid="{7AFFFFD6-80E5-4FB8-AE8A-432433B7CB5E}"/>
    <cellStyle name="20% - Accent2 2 2" xfId="275" xr:uid="{DF336A2D-8FDE-452C-8CDC-512065324A5D}"/>
    <cellStyle name="20% - Accent2 2 3" xfId="276" xr:uid="{70F8D539-2476-4166-BEFD-6480E116B0EC}"/>
    <cellStyle name="20% - Accent2 2 4" xfId="277" xr:uid="{EB111722-BEE7-4DA9-973D-0E80F89625ED}"/>
    <cellStyle name="20% - Accent2 2 5" xfId="278" xr:uid="{B668639A-3514-4B25-8532-ADD96D0E6BF7}"/>
    <cellStyle name="20% - Accent2 2 6" xfId="279" xr:uid="{E4281E8B-E527-4D02-AA30-8D648CA2A07C}"/>
    <cellStyle name="20% - Accent2 2 7" xfId="280" xr:uid="{14FFAF92-A550-4B71-9568-CD8E3E36183C}"/>
    <cellStyle name="20% - Accent2 2 8" xfId="2305" xr:uid="{2F629ED2-FAAD-41F2-B838-82A174B08037}"/>
    <cellStyle name="20% - Accent2 2 9" xfId="2306" xr:uid="{433F261B-3444-4675-B960-ACCB819E9F9C}"/>
    <cellStyle name="20% - Accent2 2_ContasExternas" xfId="2307" xr:uid="{2862BE7F-22C9-454A-BDD5-58AC9F24CA39}"/>
    <cellStyle name="20% - Accent2 3" xfId="281" xr:uid="{4F56B17A-5A1D-4A7C-A424-69D101B5DF17}"/>
    <cellStyle name="20% - Accent2 3 10" xfId="2308" xr:uid="{087D0F70-49A2-4EA1-A8E7-5AFFDE68AE50}"/>
    <cellStyle name="20% - Accent2 3 11" xfId="2309" xr:uid="{F8D5D937-A67D-482F-80CE-D99C9BEE1065}"/>
    <cellStyle name="20% - Accent2 3 12" xfId="2310" xr:uid="{0359A702-DC0A-4D83-923E-F809BA126158}"/>
    <cellStyle name="20% - Accent2 3 2" xfId="282" xr:uid="{6571862E-D9B5-4358-8937-C0FC1ECB75DB}"/>
    <cellStyle name="20% - Accent2 3 3" xfId="283" xr:uid="{6FBE8E63-6DB4-4B58-AC84-2CCDCE7A0A8D}"/>
    <cellStyle name="20% - Accent2 3 4" xfId="284" xr:uid="{0AB5CBF9-D0F3-4F5C-AE9D-A06DB12A8612}"/>
    <cellStyle name="20% - Accent2 3 5" xfId="285" xr:uid="{A09B7776-A33A-4503-A993-AF39C1AB3DEF}"/>
    <cellStyle name="20% - Accent2 3 6" xfId="286" xr:uid="{E7D63EA0-10F0-4AC5-AFC6-0131BE2E7C5C}"/>
    <cellStyle name="20% - Accent2 3 7" xfId="287" xr:uid="{846A9032-FAC7-4B67-85AF-8FFFF6546D5E}"/>
    <cellStyle name="20% - Accent2 3 8" xfId="2311" xr:uid="{BFD967FC-3A0A-4E95-8E95-C120C7CAF019}"/>
    <cellStyle name="20% - Accent2 3 9" xfId="2312" xr:uid="{61DB41E1-3002-4B39-AC38-62FAD30DBD16}"/>
    <cellStyle name="20% - Accent2 3_ContasExternas" xfId="2313" xr:uid="{CC0DE78C-3E07-488D-A308-18CDFA2D8F0F}"/>
    <cellStyle name="20% - Accent2 4" xfId="288" xr:uid="{34DC3207-6860-41FB-9E37-DE9EECDE2581}"/>
    <cellStyle name="20% - Accent2 4 10" xfId="2314" xr:uid="{F6276723-79EF-494E-9D01-46DE23C31300}"/>
    <cellStyle name="20% - Accent2 4 11" xfId="2315" xr:uid="{2FA88653-4F66-40BE-ADA4-3A0CA63D9BCC}"/>
    <cellStyle name="20% - Accent2 4 12" xfId="2316" xr:uid="{AD20D36E-C085-4680-8F4F-CD58D3EA6E7D}"/>
    <cellStyle name="20% - Accent2 4 2" xfId="289" xr:uid="{FDA4765A-0C55-424F-997F-76A5819E9C72}"/>
    <cellStyle name="20% - Accent2 4 3" xfId="290" xr:uid="{8AFF3233-7AFE-45E9-92CE-753685093ED3}"/>
    <cellStyle name="20% - Accent2 4 4" xfId="291" xr:uid="{64F72502-6B58-4FE5-8C84-E4BEAF7C90A3}"/>
    <cellStyle name="20% - Accent2 4 5" xfId="292" xr:uid="{244E08AF-952A-479B-92EF-E31C9905D431}"/>
    <cellStyle name="20% - Accent2 4 6" xfId="293" xr:uid="{6673D972-99DF-489E-88EF-375C4F24A94A}"/>
    <cellStyle name="20% - Accent2 4 7" xfId="294" xr:uid="{9D78F059-2FF6-4749-B547-1A1B0A5720F1}"/>
    <cellStyle name="20% - Accent2 4 8" xfId="2317" xr:uid="{8FA9E438-C65A-49BB-9548-EDC34F9B20C8}"/>
    <cellStyle name="20% - Accent2 4 9" xfId="2318" xr:uid="{E78F07EB-494B-4C60-835B-C0633643985C}"/>
    <cellStyle name="20% - Accent2 4_ContasExternas" xfId="2319" xr:uid="{F40162ED-8AE6-4DB3-BF6D-914E7FEA56E9}"/>
    <cellStyle name="20% - Accent2 5" xfId="295" xr:uid="{C4A63F6E-044E-40EE-9EDD-825ABA6C0B84}"/>
    <cellStyle name="20% - Accent2 5 10" xfId="2320" xr:uid="{E9C42235-783D-4A81-980A-F0BBB94EA746}"/>
    <cellStyle name="20% - Accent2 5 11" xfId="2321" xr:uid="{F2A5790D-5EFE-408B-8A98-8436B8EB5ADF}"/>
    <cellStyle name="20% - Accent2 5 12" xfId="2322" xr:uid="{50445FC1-2873-4D59-B09B-AE827BC790B6}"/>
    <cellStyle name="20% - Accent2 5 2" xfId="296" xr:uid="{EA1ECCFD-3710-4739-A415-16BF434B0F6C}"/>
    <cellStyle name="20% - Accent2 5 3" xfId="297" xr:uid="{8B19D281-D646-476F-A5BA-BBF0534BFA22}"/>
    <cellStyle name="20% - Accent2 5 4" xfId="298" xr:uid="{C0CE00A0-66A4-4F8C-B891-BA915BB796A0}"/>
    <cellStyle name="20% - Accent2 5 5" xfId="299" xr:uid="{F0EB1D74-B517-4621-A245-C007A7A1E269}"/>
    <cellStyle name="20% - Accent2 5 6" xfId="300" xr:uid="{38462CF7-5E03-4A2B-B82B-FA64A47C0C8E}"/>
    <cellStyle name="20% - Accent2 5 7" xfId="301" xr:uid="{AE0E5F54-4423-487A-A856-5B80BB8B4FA6}"/>
    <cellStyle name="20% - Accent2 5 8" xfId="2323" xr:uid="{DF4C0448-B8E8-4B0A-8887-C372B2341F3A}"/>
    <cellStyle name="20% - Accent2 5 9" xfId="2324" xr:uid="{D75EDAB7-A083-4F3A-9157-5C2F84F472F5}"/>
    <cellStyle name="20% - Accent2 5_ContasExternas" xfId="2325" xr:uid="{A0976446-4C3A-49C7-B69E-FAB2F0BA8A12}"/>
    <cellStyle name="20% - Accent2 6" xfId="302" xr:uid="{F36EC428-6DA7-414E-AA34-93802950859E}"/>
    <cellStyle name="20% - Accent2 6 10" xfId="2326" xr:uid="{F0F4B70F-05CD-4D43-8440-0BD68FC1615C}"/>
    <cellStyle name="20% - Accent2 6 11" xfId="2327" xr:uid="{847F92C0-4F9E-4C5F-88C4-80280AF47792}"/>
    <cellStyle name="20% - Accent2 6 12" xfId="2328" xr:uid="{40D1AAAC-C9E8-4995-9878-09F824C0E964}"/>
    <cellStyle name="20% - Accent2 6 2" xfId="303" xr:uid="{D2E988BA-1F98-40FA-AA23-9CF1B3C366C2}"/>
    <cellStyle name="20% - Accent2 6 3" xfId="304" xr:uid="{1680694D-FFB3-4D2A-9FEE-AF5029EBCD00}"/>
    <cellStyle name="20% - Accent2 6 4" xfId="305" xr:uid="{4052FF6F-3BE4-4ACA-A2FE-285EAB2E223E}"/>
    <cellStyle name="20% - Accent2 6 5" xfId="306" xr:uid="{575A8DC3-8817-43B8-8F8F-39FDFF90F2B8}"/>
    <cellStyle name="20% - Accent2 6 6" xfId="307" xr:uid="{D29AA773-79FC-4DEF-A4EA-B8D44F6522D9}"/>
    <cellStyle name="20% - Accent2 6 7" xfId="308" xr:uid="{4C4B29BA-2A29-43E7-A2D5-7C0AEA6CFA87}"/>
    <cellStyle name="20% - Accent2 6 8" xfId="2329" xr:uid="{B222573F-392A-49FC-8AEE-0C6DC915DBB2}"/>
    <cellStyle name="20% - Accent2 6 9" xfId="2330" xr:uid="{64DBDB89-5998-4F0D-817E-A10F4937705D}"/>
    <cellStyle name="20% - Accent2 6_ContasExternas" xfId="2331" xr:uid="{58E9E662-023B-4187-BE1B-B4425B6AFE8F}"/>
    <cellStyle name="20% - Accent2 7" xfId="309" xr:uid="{F249BC9B-F07E-49B1-9283-57B15C66F65A}"/>
    <cellStyle name="20% - Accent2 7 10" xfId="2332" xr:uid="{6FDFDD0B-5C2F-48C7-A4F5-0B16D03BD4D1}"/>
    <cellStyle name="20% - Accent2 7 11" xfId="2333" xr:uid="{55138438-6689-46B7-8EB4-996A2065A7FA}"/>
    <cellStyle name="20% - Accent2 7 12" xfId="2334" xr:uid="{6841F34C-1B2F-44EF-A31A-532A82CF2879}"/>
    <cellStyle name="20% - Accent2 7 2" xfId="310" xr:uid="{02980EAA-E8CB-4494-AD5C-90645E79CF3C}"/>
    <cellStyle name="20% - Accent2 7 3" xfId="311" xr:uid="{68E7D30B-7161-4C2B-8E13-E20D73B547FB}"/>
    <cellStyle name="20% - Accent2 7 4" xfId="312" xr:uid="{25547883-881F-445B-BF32-207D811295D8}"/>
    <cellStyle name="20% - Accent2 7 5" xfId="313" xr:uid="{4BE78620-F476-4103-92B2-EBECA23DE940}"/>
    <cellStyle name="20% - Accent2 7 6" xfId="314" xr:uid="{AD05BF38-EAF8-476A-92F1-23DE4D2AD138}"/>
    <cellStyle name="20% - Accent2 7 7" xfId="315" xr:uid="{55B08E63-E736-482D-B9FA-4C33D6160CD0}"/>
    <cellStyle name="20% - Accent2 7 8" xfId="2335" xr:uid="{75F30BB4-CC1C-4AA5-A9B0-0B876B6E6932}"/>
    <cellStyle name="20% - Accent2 7 9" xfId="2336" xr:uid="{A3A9BD09-7CD5-47C6-AA71-B5212A4000CD}"/>
    <cellStyle name="20% - Accent2 7_ContasExternas" xfId="2337" xr:uid="{D78C0303-96AF-42AD-9B69-65113E5593B8}"/>
    <cellStyle name="20% - Accent2 8" xfId="316" xr:uid="{C62FE2CF-EF21-4D03-8A3D-D435123537EC}"/>
    <cellStyle name="20% - Accent2 8 10" xfId="2338" xr:uid="{E25BE958-CC9E-49D0-9B82-45CDF3730AF9}"/>
    <cellStyle name="20% - Accent2 8 11" xfId="2339" xr:uid="{547F0983-3F26-48C9-B8A4-B05742ACD596}"/>
    <cellStyle name="20% - Accent2 8 12" xfId="2340" xr:uid="{AAA355EC-08C7-4FBE-9BA7-E42994EBDB5A}"/>
    <cellStyle name="20% - Accent2 8 2" xfId="317" xr:uid="{4DF1FE70-FD99-4358-B787-9AEE51077990}"/>
    <cellStyle name="20% - Accent2 8 3" xfId="318" xr:uid="{63F48BA6-C76D-4059-99BF-E8142CC0F4E7}"/>
    <cellStyle name="20% - Accent2 8 4" xfId="319" xr:uid="{6CB9620A-84AD-473B-A766-6B601889EB81}"/>
    <cellStyle name="20% - Accent2 8 5" xfId="320" xr:uid="{4E83B14A-9DF1-43B5-B597-8E6506CD2D51}"/>
    <cellStyle name="20% - Accent2 8 6" xfId="321" xr:uid="{58DB63AA-F785-46F6-A05F-DE34C3C4E465}"/>
    <cellStyle name="20% - Accent2 8 7" xfId="322" xr:uid="{B914A89E-2A53-4CAF-B20A-4C632C88272C}"/>
    <cellStyle name="20% - Accent2 8 8" xfId="2341" xr:uid="{6A3D9EB7-6843-4B95-ADA4-4F07005E9AD5}"/>
    <cellStyle name="20% - Accent2 8 9" xfId="2342" xr:uid="{3ABD68FD-1471-4692-8E1E-9FB9F97538B9}"/>
    <cellStyle name="20% - Accent2 8_ContasExternas" xfId="2343" xr:uid="{B855EA66-0475-4734-BD8E-8400024F990F}"/>
    <cellStyle name="20% - Accent2 9" xfId="2344" xr:uid="{AE9DA374-68D6-406F-A289-9D56C7C0B4A4}"/>
    <cellStyle name="20% - Accent3" xfId="59" builtinId="38" customBuiltin="1"/>
    <cellStyle name="20% - Accent3 2" xfId="323" xr:uid="{36B1472C-F0E0-40F3-BCB6-C661E82A5E9F}"/>
    <cellStyle name="20% - Accent3 2 10" xfId="2345" xr:uid="{B8C09FD5-E067-4BB4-A174-632262553EC9}"/>
    <cellStyle name="20% - Accent3 2 11" xfId="2346" xr:uid="{0CDBA7A6-0D3D-4169-8C1B-B5DFD2743B41}"/>
    <cellStyle name="20% - Accent3 2 12" xfId="2347" xr:uid="{3DA28BBD-8947-4A0F-9512-66FBF55C71A4}"/>
    <cellStyle name="20% - Accent3 2 2" xfId="324" xr:uid="{DE5528E9-5CCB-4934-8DD8-C5EE1D4C61B2}"/>
    <cellStyle name="20% - Accent3 2 3" xfId="325" xr:uid="{DF619984-CEAE-429A-9381-2A9A099B3F97}"/>
    <cellStyle name="20% - Accent3 2 4" xfId="326" xr:uid="{66A1F959-A895-4F47-AD36-C23B5AD5F3F8}"/>
    <cellStyle name="20% - Accent3 2 5" xfId="327" xr:uid="{BB5DEC65-B3A2-4E07-A2C1-7B013E41BBE2}"/>
    <cellStyle name="20% - Accent3 2 6" xfId="328" xr:uid="{1FBD7421-494D-4877-975A-D69916CF00EB}"/>
    <cellStyle name="20% - Accent3 2 7" xfId="329" xr:uid="{2DE75B26-8705-4A1C-BC9C-9953F25E3D14}"/>
    <cellStyle name="20% - Accent3 2 8" xfId="2348" xr:uid="{80506093-D899-4685-A1FE-7DEEB96CE0CB}"/>
    <cellStyle name="20% - Accent3 2 9" xfId="2349" xr:uid="{12A07ED3-1678-4FD3-AC77-253D9142EB48}"/>
    <cellStyle name="20% - Accent3 2_ContasExternas" xfId="2350" xr:uid="{D9202A01-1EFC-4AB8-B05A-4A9A09C6C4C6}"/>
    <cellStyle name="20% - Accent3 3" xfId="330" xr:uid="{66239758-8B6D-4BB2-903A-826DDCD87089}"/>
    <cellStyle name="20% - Accent3 3 10" xfId="2351" xr:uid="{7D288A4E-6086-439C-A91B-FABEF4ADBA42}"/>
    <cellStyle name="20% - Accent3 3 11" xfId="2352" xr:uid="{7EED16DB-5780-45EE-B2A6-6EB8C0E73D0E}"/>
    <cellStyle name="20% - Accent3 3 12" xfId="2353" xr:uid="{A4882260-0C13-409C-B26C-09A2AA0D384B}"/>
    <cellStyle name="20% - Accent3 3 2" xfId="331" xr:uid="{052A66FE-D4F3-4B32-9BD5-C68B22187377}"/>
    <cellStyle name="20% - Accent3 3 3" xfId="332" xr:uid="{463858FB-9858-4EF8-979C-2FA847617000}"/>
    <cellStyle name="20% - Accent3 3 4" xfId="333" xr:uid="{4C439E33-D6D9-48D7-8399-FFEB5340A38B}"/>
    <cellStyle name="20% - Accent3 3 5" xfId="334" xr:uid="{51216390-986F-41F2-841E-1C222EAE6350}"/>
    <cellStyle name="20% - Accent3 3 6" xfId="335" xr:uid="{3895E1E4-BAF4-4DCB-BA46-E86D45B14BB2}"/>
    <cellStyle name="20% - Accent3 3 7" xfId="336" xr:uid="{B8892695-A22A-4A18-A497-E7B353152CC7}"/>
    <cellStyle name="20% - Accent3 3 8" xfId="2354" xr:uid="{E55C78D5-3B37-4492-8D9F-AB6B81341718}"/>
    <cellStyle name="20% - Accent3 3 9" xfId="2355" xr:uid="{BB7CF852-C3E1-4E85-B003-937822F7AC91}"/>
    <cellStyle name="20% - Accent3 3_ContasExternas" xfId="2356" xr:uid="{29C4ACAF-12D7-43D2-B188-8ED134B6948E}"/>
    <cellStyle name="20% - Accent3 4" xfId="337" xr:uid="{8BDFCE3F-3837-4BBD-B24C-F6D6562F7165}"/>
    <cellStyle name="20% - Accent3 4 10" xfId="2357" xr:uid="{F90E6C86-0A64-4716-A86B-BC8BA3DFD7B4}"/>
    <cellStyle name="20% - Accent3 4 11" xfId="2358" xr:uid="{F02F8540-880D-4A89-8599-BD63E1A95989}"/>
    <cellStyle name="20% - Accent3 4 12" xfId="2359" xr:uid="{8EC38EDD-B468-470E-BD47-2E741E0B5148}"/>
    <cellStyle name="20% - Accent3 4 2" xfId="338" xr:uid="{0620F347-AB2C-4125-A94D-670D72689C7B}"/>
    <cellStyle name="20% - Accent3 4 3" xfId="339" xr:uid="{2785FDF8-0856-4B04-959D-E6ABE2219FF1}"/>
    <cellStyle name="20% - Accent3 4 4" xfId="340" xr:uid="{D1C12B3B-D1B3-408F-B673-965EDCEDC7A2}"/>
    <cellStyle name="20% - Accent3 4 5" xfId="341" xr:uid="{CCE3996D-DB40-41A7-BC45-AEFE09A57865}"/>
    <cellStyle name="20% - Accent3 4 6" xfId="342" xr:uid="{2A5D423C-60C9-465F-9622-E358009F55A6}"/>
    <cellStyle name="20% - Accent3 4 7" xfId="343" xr:uid="{936A4D6C-F15F-4AC1-803A-EA286EA2301A}"/>
    <cellStyle name="20% - Accent3 4 8" xfId="2360" xr:uid="{DC831BD4-861B-4BE1-8FC3-DE5C4664BBC8}"/>
    <cellStyle name="20% - Accent3 4 9" xfId="2361" xr:uid="{FE7820C0-D198-431A-8DE0-AF691C84E05B}"/>
    <cellStyle name="20% - Accent3 4_ContasExternas" xfId="2362" xr:uid="{2A2F772B-4FF8-4583-982E-1BDDFC078CED}"/>
    <cellStyle name="20% - Accent3 5" xfId="344" xr:uid="{379D5E76-26C9-47B0-8190-3938866F0373}"/>
    <cellStyle name="20% - Accent3 5 10" xfId="2363" xr:uid="{0108CB60-A7E0-4C40-B3AC-77C5511B5C25}"/>
    <cellStyle name="20% - Accent3 5 11" xfId="2364" xr:uid="{A95322E2-4F75-4C06-B1C4-47EF8B3510DD}"/>
    <cellStyle name="20% - Accent3 5 12" xfId="2365" xr:uid="{BDEC5F75-F445-473C-88DB-F7BF5F9D25AD}"/>
    <cellStyle name="20% - Accent3 5 2" xfId="345" xr:uid="{0C588244-7059-49BD-AFAB-57E4E669A767}"/>
    <cellStyle name="20% - Accent3 5 3" xfId="346" xr:uid="{985255AE-1E54-4DF1-9378-BD1F71014E60}"/>
    <cellStyle name="20% - Accent3 5 4" xfId="347" xr:uid="{170948F9-6500-4717-8852-82A0724333A7}"/>
    <cellStyle name="20% - Accent3 5 5" xfId="348" xr:uid="{88F166A2-8DFD-410A-96A8-9567697CD720}"/>
    <cellStyle name="20% - Accent3 5 6" xfId="349" xr:uid="{3EA53323-7390-45C9-9929-98F05FB56D94}"/>
    <cellStyle name="20% - Accent3 5 7" xfId="350" xr:uid="{83041CA9-8D38-4920-BA46-15A0539C45CE}"/>
    <cellStyle name="20% - Accent3 5 8" xfId="2366" xr:uid="{31D976CE-A068-4B4C-973C-B0F7680B95A3}"/>
    <cellStyle name="20% - Accent3 5 9" xfId="2367" xr:uid="{E230B224-8EC0-4FE5-A396-3EFCBED418C5}"/>
    <cellStyle name="20% - Accent3 5_ContasExternas" xfId="2368" xr:uid="{E6225EE6-2775-4508-BB3E-AC17EF43CE49}"/>
    <cellStyle name="20% - Accent3 6" xfId="351" xr:uid="{72FD194F-5C61-4E76-AD44-5DAA74FF1AE6}"/>
    <cellStyle name="20% - Accent3 6 10" xfId="2369" xr:uid="{536D0B88-E444-4AD4-9F50-6B3B385B7DAB}"/>
    <cellStyle name="20% - Accent3 6 11" xfId="2370" xr:uid="{B3FB9D45-B868-47A2-A407-5AEE9D34AF32}"/>
    <cellStyle name="20% - Accent3 6 12" xfId="2371" xr:uid="{4720D953-D15F-4458-9927-8A1D40373BDA}"/>
    <cellStyle name="20% - Accent3 6 2" xfId="352" xr:uid="{A29B299E-F7D1-4A24-897B-F71E15A5C197}"/>
    <cellStyle name="20% - Accent3 6 3" xfId="353" xr:uid="{6664C022-529C-499F-920B-D8731E46E484}"/>
    <cellStyle name="20% - Accent3 6 4" xfId="354" xr:uid="{E17EEBB4-AF32-4AC8-902E-A42DB6A3BC23}"/>
    <cellStyle name="20% - Accent3 6 5" xfId="355" xr:uid="{A176FB44-F44F-4FFB-A0E0-CF8783A4F0ED}"/>
    <cellStyle name="20% - Accent3 6 6" xfId="356" xr:uid="{D89F32F5-5F0C-4B6C-9414-57949025AA50}"/>
    <cellStyle name="20% - Accent3 6 7" xfId="357" xr:uid="{67AB4F0A-FE7C-4B7D-B872-4D4FFAA6E2D5}"/>
    <cellStyle name="20% - Accent3 6 8" xfId="2372" xr:uid="{E23F8FEA-C449-4E24-9AC5-329713FE78B5}"/>
    <cellStyle name="20% - Accent3 6 9" xfId="2373" xr:uid="{7C10606C-066B-467E-BEEE-DB7B37BA7C60}"/>
    <cellStyle name="20% - Accent3 6_ContasExternas" xfId="2374" xr:uid="{4534B8D1-7D69-45F1-82E5-EBE55A94B8D0}"/>
    <cellStyle name="20% - Accent3 7" xfId="358" xr:uid="{E0E6B930-3D1F-44AA-9EEE-F750AAF1701D}"/>
    <cellStyle name="20% - Accent3 7 10" xfId="2375" xr:uid="{2D4614EF-E3F7-4975-85F0-BBDAC79D7788}"/>
    <cellStyle name="20% - Accent3 7 11" xfId="2376" xr:uid="{924A14E9-F6DB-4092-AAA0-5693C48EC678}"/>
    <cellStyle name="20% - Accent3 7 12" xfId="2377" xr:uid="{D1B3BA18-FE5C-497F-92F2-D5215507AB3C}"/>
    <cellStyle name="20% - Accent3 7 2" xfId="359" xr:uid="{09C7B20B-DEAA-40B1-992F-E31D0A09843B}"/>
    <cellStyle name="20% - Accent3 7 3" xfId="360" xr:uid="{DC48B8FC-6F63-4945-B978-A8D24E4ADB47}"/>
    <cellStyle name="20% - Accent3 7 4" xfId="361" xr:uid="{9A515BF9-D16F-4F58-8A25-10BFDDA6C80E}"/>
    <cellStyle name="20% - Accent3 7 5" xfId="362" xr:uid="{84F7D620-DE3E-4226-A408-01E04E65BCC8}"/>
    <cellStyle name="20% - Accent3 7 6" xfId="363" xr:uid="{2B834E4D-97E7-4590-BA09-B58DFBAFDA53}"/>
    <cellStyle name="20% - Accent3 7 7" xfId="364" xr:uid="{68D82D22-E653-4901-8713-FCF1AAEF3353}"/>
    <cellStyle name="20% - Accent3 7 8" xfId="2378" xr:uid="{E9E8FC95-B6F1-44F3-8ADD-61739E2E0980}"/>
    <cellStyle name="20% - Accent3 7 9" xfId="2379" xr:uid="{E7AD28D5-A93B-4E27-9E64-E30875473F5D}"/>
    <cellStyle name="20% - Accent3 7_ContasExternas" xfId="2380" xr:uid="{4012ED6A-C311-4799-BD8A-127B7D50B18D}"/>
    <cellStyle name="20% - Accent3 8" xfId="365" xr:uid="{0DECACC7-4262-49B2-8129-D28FE53B5063}"/>
    <cellStyle name="20% - Accent3 8 10" xfId="2381" xr:uid="{7DAE9822-A21A-4F05-BF5A-D2D544E1A7CA}"/>
    <cellStyle name="20% - Accent3 8 11" xfId="2382" xr:uid="{740C6E1F-F099-4466-AB6C-580AC8A172C1}"/>
    <cellStyle name="20% - Accent3 8 12" xfId="2383" xr:uid="{F369E0FF-5E4D-4C6E-972A-4807FA6DD6B8}"/>
    <cellStyle name="20% - Accent3 8 2" xfId="366" xr:uid="{8320EEF8-9DE4-4B33-A124-418F3EDA676E}"/>
    <cellStyle name="20% - Accent3 8 3" xfId="367" xr:uid="{957B17B6-70AB-44EE-AB97-79DF83B660A3}"/>
    <cellStyle name="20% - Accent3 8 4" xfId="368" xr:uid="{F56BB54E-2446-4A2C-B88E-05079CADF86F}"/>
    <cellStyle name="20% - Accent3 8 5" xfId="369" xr:uid="{EEF010B2-E4B7-44D1-B877-44B1B3835DC6}"/>
    <cellStyle name="20% - Accent3 8 6" xfId="370" xr:uid="{461B8C97-AAA2-4AA0-BFFC-F2F9851B6880}"/>
    <cellStyle name="20% - Accent3 8 7" xfId="371" xr:uid="{31D953EF-E119-40CD-AE03-A692AE5311C6}"/>
    <cellStyle name="20% - Accent3 8 8" xfId="2384" xr:uid="{CC0938C5-1F4B-491F-86A5-73E8928C04C5}"/>
    <cellStyle name="20% - Accent3 8 9" xfId="2385" xr:uid="{C6768729-FAD8-489F-95BA-4FD0A9CBA8DB}"/>
    <cellStyle name="20% - Accent3 8_ContasExternas" xfId="2386" xr:uid="{77A8DC5C-669A-4B1F-94F4-39AF227A2978}"/>
    <cellStyle name="20% - Accent3 9" xfId="2387" xr:uid="{787F7CE1-082F-4814-93AC-847FC926C97C}"/>
    <cellStyle name="20% - Accent4" xfId="60" builtinId="42" customBuiltin="1"/>
    <cellStyle name="20% - Accent4 2" xfId="372" xr:uid="{A9935064-D583-441E-8D93-AD685449790D}"/>
    <cellStyle name="20% - Accent4 2 10" xfId="2388" xr:uid="{51107636-0130-4822-91B7-54309E828603}"/>
    <cellStyle name="20% - Accent4 2 11" xfId="2389" xr:uid="{E9606E41-5755-4E75-B626-953E5E1E9F98}"/>
    <cellStyle name="20% - Accent4 2 12" xfId="2390" xr:uid="{C0A2362B-6B2B-4867-9F4E-FD8878FB151C}"/>
    <cellStyle name="20% - Accent4 2 2" xfId="373" xr:uid="{1A1732DE-B782-4A20-94ED-E4D84312D453}"/>
    <cellStyle name="20% - Accent4 2 3" xfId="374" xr:uid="{30535B64-68B6-4DDD-A210-20B08CFAE9D0}"/>
    <cellStyle name="20% - Accent4 2 4" xfId="375" xr:uid="{053201F2-B241-422D-BAAF-915002C922B4}"/>
    <cellStyle name="20% - Accent4 2 5" xfId="376" xr:uid="{74A7566C-3F9B-4CC7-BB9B-344CA4943BC2}"/>
    <cellStyle name="20% - Accent4 2 6" xfId="377" xr:uid="{4406AAF1-5D85-4052-A024-77C086ECD625}"/>
    <cellStyle name="20% - Accent4 2 7" xfId="378" xr:uid="{589BF6A0-D487-46F5-A34E-406DB9EC2FB2}"/>
    <cellStyle name="20% - Accent4 2 8" xfId="2391" xr:uid="{637F09BA-8C04-4E75-B31A-8A8D3AEFE252}"/>
    <cellStyle name="20% - Accent4 2 9" xfId="2392" xr:uid="{A4B26006-FCAE-4352-8135-2115FC0A92FF}"/>
    <cellStyle name="20% - Accent4 2_ContasExternas" xfId="2393" xr:uid="{F5F2ADA6-A5E9-4C10-AD8D-0650AA1C8041}"/>
    <cellStyle name="20% - Accent4 3" xfId="379" xr:uid="{98BA8D88-C248-457B-A1CD-8CB3C92BF1FC}"/>
    <cellStyle name="20% - Accent4 3 10" xfId="2394" xr:uid="{A0B47DD0-DA8E-4B0D-9EB0-CF063465FB55}"/>
    <cellStyle name="20% - Accent4 3 11" xfId="2395" xr:uid="{E51348BA-F074-45DF-AB45-7E4FD7E3E0D4}"/>
    <cellStyle name="20% - Accent4 3 12" xfId="2396" xr:uid="{7CC0F077-AA11-4EB9-81A1-AE80E8FBC023}"/>
    <cellStyle name="20% - Accent4 3 2" xfId="380" xr:uid="{5F0C5B2A-34CF-4A36-B3E7-6358D2E36803}"/>
    <cellStyle name="20% - Accent4 3 3" xfId="381" xr:uid="{27260266-90BA-4632-AEBD-8423AF3327ED}"/>
    <cellStyle name="20% - Accent4 3 4" xfId="382" xr:uid="{24A48226-2571-4367-919E-36709A10A719}"/>
    <cellStyle name="20% - Accent4 3 5" xfId="383" xr:uid="{8AB004FF-6BE0-4FC5-9D1D-9E794F87F9AA}"/>
    <cellStyle name="20% - Accent4 3 6" xfId="384" xr:uid="{62728F85-D48C-423D-B3D0-A3FBD5C5244D}"/>
    <cellStyle name="20% - Accent4 3 7" xfId="385" xr:uid="{1DA604A1-7C80-454E-ACF4-D2A66BD52CBD}"/>
    <cellStyle name="20% - Accent4 3 8" xfId="2397" xr:uid="{0145B1F8-FD87-48D1-A0F5-24DD31232E9C}"/>
    <cellStyle name="20% - Accent4 3 9" xfId="2398" xr:uid="{F8E83CEF-4973-4708-9F9D-38CE8992E33D}"/>
    <cellStyle name="20% - Accent4 3_ContasExternas" xfId="2399" xr:uid="{CCD1706E-1878-4833-820E-73CC09360D03}"/>
    <cellStyle name="20% - Accent4 4" xfId="386" xr:uid="{D992584C-FD72-49CE-8EC6-F1606BCAC524}"/>
    <cellStyle name="20% - Accent4 4 10" xfId="2400" xr:uid="{6CABACB0-D845-4A54-899C-223A303F7536}"/>
    <cellStyle name="20% - Accent4 4 11" xfId="2401" xr:uid="{52D046EE-F3A2-48E1-8BFE-5C20C7BEF472}"/>
    <cellStyle name="20% - Accent4 4 12" xfId="2402" xr:uid="{58607DC2-74F6-4EAF-957D-5C6C462AA3CB}"/>
    <cellStyle name="20% - Accent4 4 2" xfId="387" xr:uid="{D689BCFB-D58A-4074-8E47-1F78689FD66A}"/>
    <cellStyle name="20% - Accent4 4 3" xfId="388" xr:uid="{847FF9D2-BBD7-496C-8D82-F8A7EAA59C80}"/>
    <cellStyle name="20% - Accent4 4 4" xfId="389" xr:uid="{CCE1C2F0-A4BE-4BF3-90EE-6042A20BFEBB}"/>
    <cellStyle name="20% - Accent4 4 5" xfId="390" xr:uid="{365EF97E-B630-4547-AF7D-2ADBCB266A1F}"/>
    <cellStyle name="20% - Accent4 4 6" xfId="391" xr:uid="{BC6896C9-6333-4CCA-A4FE-C5BE5CE157C7}"/>
    <cellStyle name="20% - Accent4 4 7" xfId="392" xr:uid="{3532C268-A5E4-4B9F-A863-89ED579F4E86}"/>
    <cellStyle name="20% - Accent4 4 8" xfId="2403" xr:uid="{036446B8-F40C-4E6A-A718-C8D76D4106B0}"/>
    <cellStyle name="20% - Accent4 4 9" xfId="2404" xr:uid="{D8C24B4A-CBB8-4038-B217-ADD745948859}"/>
    <cellStyle name="20% - Accent4 4_ContasExternas" xfId="2405" xr:uid="{9755BD9B-9426-40F2-B218-14C930D5C7FC}"/>
    <cellStyle name="20% - Accent4 5" xfId="393" xr:uid="{2B22105F-D3A0-4541-864E-B0C25CFBB99B}"/>
    <cellStyle name="20% - Accent4 5 10" xfId="2406" xr:uid="{7DF01024-4E89-4DB1-872F-0766BACF62FB}"/>
    <cellStyle name="20% - Accent4 5 11" xfId="2407" xr:uid="{DC7C160C-0A9E-46A3-AA21-9F67EBBD9B86}"/>
    <cellStyle name="20% - Accent4 5 12" xfId="2408" xr:uid="{88B89DDB-D173-4AEB-B5DA-7D38E28D7CD5}"/>
    <cellStyle name="20% - Accent4 5 2" xfId="394" xr:uid="{9A2255DB-9C04-4D9C-B23A-5B48B3D3A9A6}"/>
    <cellStyle name="20% - Accent4 5 3" xfId="395" xr:uid="{017BFCD4-2454-4040-8312-05C41FE05188}"/>
    <cellStyle name="20% - Accent4 5 4" xfId="396" xr:uid="{E491F2D0-6C90-42D0-8E4F-80541CF2667B}"/>
    <cellStyle name="20% - Accent4 5 5" xfId="397" xr:uid="{CF18F30A-18D0-40DB-8B71-44494D5DAB76}"/>
    <cellStyle name="20% - Accent4 5 6" xfId="398" xr:uid="{DB3ED03E-ABD9-4FFD-AFF8-37EF705EB35F}"/>
    <cellStyle name="20% - Accent4 5 7" xfId="399" xr:uid="{D7BBD601-16B0-49D0-B715-F1176A935B84}"/>
    <cellStyle name="20% - Accent4 5 8" xfId="2409" xr:uid="{704D183E-BE89-4015-A202-A0490CDA6ECD}"/>
    <cellStyle name="20% - Accent4 5 9" xfId="2410" xr:uid="{72019B17-A228-4FE4-9540-7DCEEF6E447B}"/>
    <cellStyle name="20% - Accent4 5_ContasExternas" xfId="2411" xr:uid="{763DB44D-AD71-495C-AF60-FD44D828CB6A}"/>
    <cellStyle name="20% - Accent4 6" xfId="400" xr:uid="{5F7E55D1-9882-4293-A13D-FB5DD89A99D0}"/>
    <cellStyle name="20% - Accent4 6 10" xfId="2412" xr:uid="{E435A091-189A-4FDD-BA9A-867F42393AB1}"/>
    <cellStyle name="20% - Accent4 6 11" xfId="2413" xr:uid="{570927BB-0CC7-4743-A2AE-4B101F2C2492}"/>
    <cellStyle name="20% - Accent4 6 12" xfId="2414" xr:uid="{5D606069-6FFE-42F6-A9E7-9F3C7612EE63}"/>
    <cellStyle name="20% - Accent4 6 2" xfId="401" xr:uid="{6879ED70-674D-4410-8E6A-267EB3F489DA}"/>
    <cellStyle name="20% - Accent4 6 3" xfId="402" xr:uid="{E0867D9C-B51B-420D-AD79-BB20B826E62D}"/>
    <cellStyle name="20% - Accent4 6 4" xfId="403" xr:uid="{1A2BDBE3-EEFA-46A9-BEFE-E23DE3EE753B}"/>
    <cellStyle name="20% - Accent4 6 5" xfId="404" xr:uid="{04F77127-5813-4D5E-A4F1-48AC8A6B202D}"/>
    <cellStyle name="20% - Accent4 6 6" xfId="405" xr:uid="{C6BD9ED9-2397-42A5-8A36-93DDEC19D4F8}"/>
    <cellStyle name="20% - Accent4 6 7" xfId="406" xr:uid="{E8345A22-B655-420B-9FF4-DDE185C9BFAD}"/>
    <cellStyle name="20% - Accent4 6 8" xfId="2415" xr:uid="{935E738B-C91D-4126-AA25-EB4505A753A4}"/>
    <cellStyle name="20% - Accent4 6 9" xfId="2416" xr:uid="{FCD257BD-CB68-4825-9519-670E8AA9F790}"/>
    <cellStyle name="20% - Accent4 6_ContasExternas" xfId="2417" xr:uid="{1252306C-BE67-46F9-874A-9D7C89C7A5E4}"/>
    <cellStyle name="20% - Accent4 7" xfId="407" xr:uid="{DB4F41EE-C59F-4472-9499-AD23B8B722EE}"/>
    <cellStyle name="20% - Accent4 7 10" xfId="2418" xr:uid="{48E5226E-B205-4066-A70A-2226751C7989}"/>
    <cellStyle name="20% - Accent4 7 11" xfId="2419" xr:uid="{674EED78-2B59-4FBC-8308-0A634F3D9676}"/>
    <cellStyle name="20% - Accent4 7 12" xfId="2420" xr:uid="{F7CDD4FD-3843-4A4F-8622-8F6914B07C97}"/>
    <cellStyle name="20% - Accent4 7 2" xfId="408" xr:uid="{E043A02C-AA16-4AB9-82F9-CAAEC1E21489}"/>
    <cellStyle name="20% - Accent4 7 3" xfId="409" xr:uid="{9C1D40ED-4B69-46D3-8AFE-91F67D0BCDE4}"/>
    <cellStyle name="20% - Accent4 7 4" xfId="410" xr:uid="{DF72D56F-E507-4F4F-BE63-780A56196CDE}"/>
    <cellStyle name="20% - Accent4 7 5" xfId="411" xr:uid="{AB662382-0CC0-445C-A068-6493B6641F4C}"/>
    <cellStyle name="20% - Accent4 7 6" xfId="412" xr:uid="{3C415655-598A-4463-9C35-81C3E72BE8D6}"/>
    <cellStyle name="20% - Accent4 7 7" xfId="413" xr:uid="{18FD62A7-DF99-4913-8B53-C032981957FC}"/>
    <cellStyle name="20% - Accent4 7 8" xfId="2421" xr:uid="{A1262174-29A3-4B31-A2C2-7743EF672A4A}"/>
    <cellStyle name="20% - Accent4 7 9" xfId="2422" xr:uid="{E147BCC0-4D3C-4A27-AA3A-5E035232C4AC}"/>
    <cellStyle name="20% - Accent4 7_ContasExternas" xfId="2423" xr:uid="{72BB1EEF-337F-4BAE-9B13-3AAB75423ACC}"/>
    <cellStyle name="20% - Accent4 8" xfId="414" xr:uid="{34187035-1287-4986-875E-69DC3B7130B2}"/>
    <cellStyle name="20% - Accent4 8 10" xfId="2424" xr:uid="{EEB11BAE-B9F0-4CE4-B60B-0C570A67874F}"/>
    <cellStyle name="20% - Accent4 8 11" xfId="2425" xr:uid="{B813CACD-E2B1-4448-B0E0-AC67A5853220}"/>
    <cellStyle name="20% - Accent4 8 12" xfId="2426" xr:uid="{00BCE5DD-7768-4F31-B2FD-5721E0230F06}"/>
    <cellStyle name="20% - Accent4 8 2" xfId="415" xr:uid="{70862A56-F03C-4845-96D3-511934B17508}"/>
    <cellStyle name="20% - Accent4 8 3" xfId="416" xr:uid="{18988930-3B7D-4968-9D19-AC50721B39EB}"/>
    <cellStyle name="20% - Accent4 8 4" xfId="417" xr:uid="{0B403EE2-C3D9-48FB-A0E3-A8B104817A7E}"/>
    <cellStyle name="20% - Accent4 8 5" xfId="418" xr:uid="{B19F367E-B579-4188-A9EA-A3B4CF806305}"/>
    <cellStyle name="20% - Accent4 8 6" xfId="419" xr:uid="{E077FCE8-E870-4FD0-AE4E-3CB6D673EEB1}"/>
    <cellStyle name="20% - Accent4 8 7" xfId="420" xr:uid="{B4276EA6-659F-4DFE-928C-D235C5707E86}"/>
    <cellStyle name="20% - Accent4 8 8" xfId="2427" xr:uid="{3AC9DD55-A939-43C9-9553-6B57CFA933FB}"/>
    <cellStyle name="20% - Accent4 8 9" xfId="2428" xr:uid="{1886CACF-4BC8-4313-8550-B71B6BC7E911}"/>
    <cellStyle name="20% - Accent4 8_ContasExternas" xfId="2429" xr:uid="{3A880983-5AD4-4B7E-938F-978A22DF86F7}"/>
    <cellStyle name="20% - Accent4 9" xfId="2430" xr:uid="{B42D7DA1-3735-4233-A499-A32D16DF6726}"/>
    <cellStyle name="20% - Accent5" xfId="61" builtinId="46" customBuiltin="1"/>
    <cellStyle name="20% - Accent5 10" xfId="2431" xr:uid="{D5B9EE91-B510-4248-9273-86FA431DBE27}"/>
    <cellStyle name="20% - Accent5 2" xfId="421" xr:uid="{DB261604-B548-4100-89D8-1FD117830265}"/>
    <cellStyle name="20% - Accent5 2 10" xfId="2432" xr:uid="{007324EC-9E5E-4D19-BD6D-E7DCD7FAE57B}"/>
    <cellStyle name="20% - Accent5 2 11" xfId="2433" xr:uid="{56A248FC-5D56-4E54-BDC2-EA59F1434A41}"/>
    <cellStyle name="20% - Accent5 2 12" xfId="2434" xr:uid="{717AA49B-7EDF-4FB4-B5E9-9DFC6DBD1499}"/>
    <cellStyle name="20% - Accent5 2 2" xfId="422" xr:uid="{B4BA3363-996B-4DEF-9833-39AF088DD83C}"/>
    <cellStyle name="20% - Accent5 2 3" xfId="423" xr:uid="{A5209A2D-8804-420B-8FB6-F91F49A50CD5}"/>
    <cellStyle name="20% - Accent5 2 4" xfId="424" xr:uid="{54A26E20-D5B7-49BB-BE3F-0BDACAED743C}"/>
    <cellStyle name="20% - Accent5 2 5" xfId="425" xr:uid="{BE32E697-589C-43C0-B289-43F5EA856BFB}"/>
    <cellStyle name="20% - Accent5 2 6" xfId="426" xr:uid="{AE1D7B46-0A36-46D5-8A5D-DA0C5DAFFC1E}"/>
    <cellStyle name="20% - Accent5 2 7" xfId="427" xr:uid="{6B69CCB3-DCBD-45C2-A258-08D18AA91E55}"/>
    <cellStyle name="20% - Accent5 2 8" xfId="2435" xr:uid="{45498E07-5795-46D9-94F3-6C8BEDD3938B}"/>
    <cellStyle name="20% - Accent5 2 9" xfId="2436" xr:uid="{1049E06F-1207-4E0F-968C-4B590FF32046}"/>
    <cellStyle name="20% - Accent5 2_ContasExternas" xfId="2437" xr:uid="{6442078F-F988-42C1-B116-B8A13B47B693}"/>
    <cellStyle name="20% - Accent5 3" xfId="428" xr:uid="{07A27FA9-E1F1-4D18-A122-AF696D53148E}"/>
    <cellStyle name="20% - Accent5 3 10" xfId="2438" xr:uid="{85433F91-8029-4952-9D58-16EA97BF84C1}"/>
    <cellStyle name="20% - Accent5 3 11" xfId="2439" xr:uid="{F6F57EAC-1822-4B0E-9EDF-99D5B7C46C78}"/>
    <cellStyle name="20% - Accent5 3 12" xfId="2440" xr:uid="{34CD0714-5EBB-489E-AB3F-32EAC1E973D6}"/>
    <cellStyle name="20% - Accent5 3 2" xfId="429" xr:uid="{B225F849-FFBC-4D30-AEF7-AFCF6549D1AC}"/>
    <cellStyle name="20% - Accent5 3 3" xfId="430" xr:uid="{D8276158-AA7B-4D40-B1FE-8A9D688BB4B6}"/>
    <cellStyle name="20% - Accent5 3 4" xfId="431" xr:uid="{570627CF-9A68-4857-B52C-712FF26255C5}"/>
    <cellStyle name="20% - Accent5 3 5" xfId="432" xr:uid="{20E19F60-F128-4ACA-A5F1-3CC4BC80098E}"/>
    <cellStyle name="20% - Accent5 3 6" xfId="433" xr:uid="{09AA2587-A2C2-4485-8FAA-DDF052229AE4}"/>
    <cellStyle name="20% - Accent5 3 7" xfId="434" xr:uid="{8A2075B1-14BA-4EC3-86EE-72FF92D53C9B}"/>
    <cellStyle name="20% - Accent5 3 8" xfId="2441" xr:uid="{698E5F4C-03B3-4C93-BD6C-59659F022778}"/>
    <cellStyle name="20% - Accent5 3 9" xfId="2442" xr:uid="{E7217DBF-4D87-4DC7-BFFB-18639E33D6FB}"/>
    <cellStyle name="20% - Accent5 3_ContasExternas" xfId="2443" xr:uid="{DB25B5E5-D091-4ED4-92DD-DE85FD16AEC6}"/>
    <cellStyle name="20% - Accent5 4" xfId="435" xr:uid="{EE75CD12-8865-4040-8027-D899BD37D9B1}"/>
    <cellStyle name="20% - Accent5 4 10" xfId="2444" xr:uid="{9AF8CDAF-BD4B-4769-B515-DC884049EFD0}"/>
    <cellStyle name="20% - Accent5 4 11" xfId="2445" xr:uid="{02C6FBDD-DCF3-4146-B0E8-9DBE1FE9C648}"/>
    <cellStyle name="20% - Accent5 4 12" xfId="2446" xr:uid="{735915CC-400D-4C63-BF46-063F20C95447}"/>
    <cellStyle name="20% - Accent5 4 2" xfId="436" xr:uid="{6BF2B932-3DFA-4DBF-81AC-3441E88EFE86}"/>
    <cellStyle name="20% - Accent5 4 3" xfId="437" xr:uid="{D79A11ED-FFA7-4B06-87FE-214B491993C4}"/>
    <cellStyle name="20% - Accent5 4 4" xfId="438" xr:uid="{F226A434-BA75-40D3-A2F2-9ED14B71849F}"/>
    <cellStyle name="20% - Accent5 4 5" xfId="439" xr:uid="{8D315C72-81BF-411E-831C-6C2539839C2E}"/>
    <cellStyle name="20% - Accent5 4 6" xfId="440" xr:uid="{3E765B7B-74F0-4D89-8610-6CF0649DA451}"/>
    <cellStyle name="20% - Accent5 4 7" xfId="441" xr:uid="{EE16A1AB-1EB9-4A1A-8A18-7FDE1FD8190D}"/>
    <cellStyle name="20% - Accent5 4 8" xfId="2447" xr:uid="{5963B386-6823-48A3-BD99-40455BC5F7AE}"/>
    <cellStyle name="20% - Accent5 4 9" xfId="2448" xr:uid="{BA2A719C-651D-4F93-BC73-9D447ABD44B1}"/>
    <cellStyle name="20% - Accent5 4_ContasExternas" xfId="2449" xr:uid="{44106CE0-496A-4FB4-86B0-53608F8812F0}"/>
    <cellStyle name="20% - Accent5 5" xfId="442" xr:uid="{FD51DC0A-B6F7-42E4-80CF-27B09BB7895B}"/>
    <cellStyle name="20% - Accent5 5 10" xfId="2450" xr:uid="{F1A57534-340B-4060-94D9-B66139C36D95}"/>
    <cellStyle name="20% - Accent5 5 11" xfId="2451" xr:uid="{1B431F36-0481-4B43-ADE5-A7AB2E57297A}"/>
    <cellStyle name="20% - Accent5 5 12" xfId="2452" xr:uid="{2727F2CB-977F-4079-92A2-674BBFF3A50C}"/>
    <cellStyle name="20% - Accent5 5 2" xfId="443" xr:uid="{6335D488-54FB-499A-AADC-724504852B41}"/>
    <cellStyle name="20% - Accent5 5 3" xfId="444" xr:uid="{F3AE8D21-582F-494D-AECC-33FF634F3E9E}"/>
    <cellStyle name="20% - Accent5 5 4" xfId="445" xr:uid="{4B622BAB-28BE-4601-B70B-D6224B70B803}"/>
    <cellStyle name="20% - Accent5 5 5" xfId="446" xr:uid="{F151C80B-5ADD-420B-A190-8CF33A81B2EE}"/>
    <cellStyle name="20% - Accent5 5 6" xfId="447" xr:uid="{EA030E3E-00A8-41A3-AA00-344CFD90887D}"/>
    <cellStyle name="20% - Accent5 5 7" xfId="448" xr:uid="{0FF5D34A-8CE7-49AD-AA21-CF800E982FB2}"/>
    <cellStyle name="20% - Accent5 5 8" xfId="2453" xr:uid="{EC94F2DC-B300-44F5-B56C-71C98E253339}"/>
    <cellStyle name="20% - Accent5 5 9" xfId="2454" xr:uid="{733EC147-72C3-4846-BED1-7FF16B15D14C}"/>
    <cellStyle name="20% - Accent5 5_ContasExternas" xfId="2455" xr:uid="{BADC3500-5EA3-41AB-923D-8EC65DAC86DF}"/>
    <cellStyle name="20% - Accent5 6" xfId="2456" xr:uid="{361DB165-678B-4978-96FC-7B0FAD703E5F}"/>
    <cellStyle name="20% - Accent5 6 2" xfId="2457" xr:uid="{88C890C1-D248-4D7A-A970-5A1C56D57D4A}"/>
    <cellStyle name="20% - Accent5 6 3" xfId="2458" xr:uid="{9B346EC2-42C7-44A8-872D-3506BEADC098}"/>
    <cellStyle name="20% - Accent5 6 4" xfId="2459" xr:uid="{E3866059-6124-43F3-B624-6EB6619A7A3A}"/>
    <cellStyle name="20% - Accent5 6_ContasExternas" xfId="2460" xr:uid="{AB264B8C-74EC-46CB-BCC9-65A18C386469}"/>
    <cellStyle name="20% - Accent5 7" xfId="2461" xr:uid="{C46FF5F0-D76F-4552-8628-680136161DC8}"/>
    <cellStyle name="20% - Accent5 8" xfId="2462" xr:uid="{3344E090-507F-41DE-BF3C-38D49343DCED}"/>
    <cellStyle name="20% - Accent5 9" xfId="2463" xr:uid="{AE085860-314D-4B27-AF20-CE7FCC103285}"/>
    <cellStyle name="20% - Accent6" xfId="62" builtinId="50" customBuiltin="1"/>
    <cellStyle name="20% - Accent6 2" xfId="449" xr:uid="{DB2A275C-07FC-4FE1-91D7-515F30E3214D}"/>
    <cellStyle name="20% - Accent6 2 10" xfId="2464" xr:uid="{63091028-09CC-4C1F-9A48-BE5F036DA7BD}"/>
    <cellStyle name="20% - Accent6 2 11" xfId="2465" xr:uid="{DBB4FCDD-09A4-4872-A234-619F2036CC11}"/>
    <cellStyle name="20% - Accent6 2 12" xfId="2466" xr:uid="{A9694713-9733-45A1-9732-05A4C0B26F17}"/>
    <cellStyle name="20% - Accent6 2 2" xfId="450" xr:uid="{F9F9153D-1005-45C5-BD01-A49CE2FE1DEE}"/>
    <cellStyle name="20% - Accent6 2 3" xfId="451" xr:uid="{322F8E8D-8581-4EEA-A997-57CAB5209FAF}"/>
    <cellStyle name="20% - Accent6 2 4" xfId="452" xr:uid="{F2EB5332-E96D-4CF3-91AF-4F248BBE810A}"/>
    <cellStyle name="20% - Accent6 2 5" xfId="453" xr:uid="{796340CC-B0EF-4712-88E2-3F963854BDE7}"/>
    <cellStyle name="20% - Accent6 2 6" xfId="454" xr:uid="{1BB4F0DA-5FCB-4339-9D9B-2D657B46A003}"/>
    <cellStyle name="20% - Accent6 2 7" xfId="455" xr:uid="{B4C75963-C6B4-4282-A2E1-AD190E0226C9}"/>
    <cellStyle name="20% - Accent6 2 8" xfId="2467" xr:uid="{0C68A782-5ED0-408E-B7BF-CF08F3FAA1C8}"/>
    <cellStyle name="20% - Accent6 2 9" xfId="2468" xr:uid="{6D45D5EB-A0F5-4517-9049-EE61233B1039}"/>
    <cellStyle name="20% - Accent6 2_ContasExternas" xfId="2469" xr:uid="{C1D73C82-CFB6-43AE-9B1A-CCEB2B1251DB}"/>
    <cellStyle name="20% - Accent6 3" xfId="456" xr:uid="{0BC9F0DC-0ABC-42AD-A86E-C55A20D58142}"/>
    <cellStyle name="20% - Accent6 3 10" xfId="2470" xr:uid="{590B6141-2C62-4248-B37A-32E848463EB3}"/>
    <cellStyle name="20% - Accent6 3 11" xfId="2471" xr:uid="{5D671957-DD6F-44D8-8025-3AD491BE785B}"/>
    <cellStyle name="20% - Accent6 3 12" xfId="2472" xr:uid="{39DDBF3B-CE4D-4B65-8134-F82E7636C24A}"/>
    <cellStyle name="20% - Accent6 3 2" xfId="457" xr:uid="{2AD9CA0E-07CF-4B57-8DEC-DDBF0B88DBCF}"/>
    <cellStyle name="20% - Accent6 3 3" xfId="458" xr:uid="{6946A612-2859-4A09-B55D-BAF13A7179B7}"/>
    <cellStyle name="20% - Accent6 3 4" xfId="459" xr:uid="{895D3D1A-F4AE-4335-A10C-B629FA7CCDCC}"/>
    <cellStyle name="20% - Accent6 3 5" xfId="460" xr:uid="{8DA9E92F-F9A0-452D-94B6-8EFDB18E9082}"/>
    <cellStyle name="20% - Accent6 3 6" xfId="461" xr:uid="{6199BC5E-1328-4BEF-8829-7CE6078F716F}"/>
    <cellStyle name="20% - Accent6 3 7" xfId="462" xr:uid="{5C46211E-0038-4CDF-ADE4-4692A7AC7790}"/>
    <cellStyle name="20% - Accent6 3 8" xfId="2473" xr:uid="{C12C1A9E-C0AC-4968-A0E4-75E219C56A66}"/>
    <cellStyle name="20% - Accent6 3 9" xfId="2474" xr:uid="{3B9713E1-B0BE-4D6F-9F22-A9EB4F563A39}"/>
    <cellStyle name="20% - Accent6 3_ContasExternas" xfId="2475" xr:uid="{0F29F216-DCA6-477B-9AA8-BDCFD613A15A}"/>
    <cellStyle name="20% - Accent6 4" xfId="463" xr:uid="{00810C3F-DA46-436F-B705-CDA72B01DA4F}"/>
    <cellStyle name="20% - Accent6 4 10" xfId="2476" xr:uid="{F260772E-7884-49A6-B6FF-F320E29717E4}"/>
    <cellStyle name="20% - Accent6 4 11" xfId="2477" xr:uid="{E6681E2E-C908-4AE7-8052-2FDABB6FC7FF}"/>
    <cellStyle name="20% - Accent6 4 12" xfId="2478" xr:uid="{C04ED26B-4890-4EA2-9AC1-D055AFF80D6B}"/>
    <cellStyle name="20% - Accent6 4 2" xfId="464" xr:uid="{DBEC953F-CA21-4578-9A4F-60B12245D51A}"/>
    <cellStyle name="20% - Accent6 4 3" xfId="465" xr:uid="{1CBFF99C-4C2F-4BED-9C20-46D132ACDF8D}"/>
    <cellStyle name="20% - Accent6 4 4" xfId="466" xr:uid="{31BB9A5F-CEC4-4344-8178-902FCA2A47D7}"/>
    <cellStyle name="20% - Accent6 4 5" xfId="467" xr:uid="{9E21AE59-14F4-4C91-821E-9E1AB22A68E8}"/>
    <cellStyle name="20% - Accent6 4 6" xfId="468" xr:uid="{2AAE4A30-46DD-449E-B039-0A09D6679541}"/>
    <cellStyle name="20% - Accent6 4 7" xfId="469" xr:uid="{034CC817-BC82-4FF2-8B25-BDCAE90AF683}"/>
    <cellStyle name="20% - Accent6 4 8" xfId="2479" xr:uid="{3F5F7371-7737-47D4-8CBE-6BDB482A6A53}"/>
    <cellStyle name="20% - Accent6 4 9" xfId="2480" xr:uid="{CFB129E1-E09E-4347-B879-76F91E145F27}"/>
    <cellStyle name="20% - Accent6 4_ContasExternas" xfId="2481" xr:uid="{A39C1CA7-4B59-49AF-9D60-C5D6DA714F1D}"/>
    <cellStyle name="20% - Accent6 5" xfId="470" xr:uid="{2D6C62D1-CE43-4CAD-9D67-7146DE888DEA}"/>
    <cellStyle name="20% - Accent6 5 10" xfId="2482" xr:uid="{7D7584F3-1D44-43E8-A4C0-9CF978C2A0D3}"/>
    <cellStyle name="20% - Accent6 5 11" xfId="2483" xr:uid="{0BBE0365-A428-43A6-B2DC-2536222E225A}"/>
    <cellStyle name="20% - Accent6 5 12" xfId="2484" xr:uid="{BD997079-D769-450D-8812-EA0E9C253873}"/>
    <cellStyle name="20% - Accent6 5 2" xfId="471" xr:uid="{B6B77408-DAA7-4F88-97D4-802CFDCEADE7}"/>
    <cellStyle name="20% - Accent6 5 3" xfId="472" xr:uid="{894B383B-4103-4C3D-AF26-888C6ACB25D7}"/>
    <cellStyle name="20% - Accent6 5 4" xfId="473" xr:uid="{326BDCA9-F057-408B-AF76-405E1BF8E7B2}"/>
    <cellStyle name="20% - Accent6 5 5" xfId="474" xr:uid="{B56565D8-F0A4-4BAD-921B-B33787A3BD09}"/>
    <cellStyle name="20% - Accent6 5 6" xfId="475" xr:uid="{5A79ADE1-D52C-4E77-B425-9D5EF28E51C0}"/>
    <cellStyle name="20% - Accent6 5 7" xfId="476" xr:uid="{2A40142F-0424-4331-8794-F17C7A612084}"/>
    <cellStyle name="20% - Accent6 5 8" xfId="2485" xr:uid="{4F413BDF-0D6E-4BFA-A54E-D7C4FEC1DF3E}"/>
    <cellStyle name="20% - Accent6 5 9" xfId="2486" xr:uid="{5D21AD38-04E3-4476-8CB7-9865A1DF4CD3}"/>
    <cellStyle name="20% - Accent6 5_ContasExternas" xfId="2487" xr:uid="{B053BE17-454F-4229-B720-39FE827D0CE6}"/>
    <cellStyle name="20% - Accent6 6" xfId="477" xr:uid="{F00A2BC4-AF3D-42E1-8F5D-A627F3F49338}"/>
    <cellStyle name="20% - Accent6 6 10" xfId="2488" xr:uid="{44D9449B-F36A-420B-A850-EF7D953F9AE9}"/>
    <cellStyle name="20% - Accent6 6 11" xfId="2489" xr:uid="{C8348896-EA7D-4C88-9573-1FBA178D1F19}"/>
    <cellStyle name="20% - Accent6 6 12" xfId="2490" xr:uid="{278150B2-2A65-4E7C-9DFA-1CC8A14A7D73}"/>
    <cellStyle name="20% - Accent6 6 2" xfId="478" xr:uid="{D67DA9C6-845B-472B-A073-C340A3A5CC35}"/>
    <cellStyle name="20% - Accent6 6 3" xfId="479" xr:uid="{06941E4A-8A92-46C9-A37B-DD13BB7EB071}"/>
    <cellStyle name="20% - Accent6 6 4" xfId="480" xr:uid="{F17F8007-8C30-4F5C-8E4D-FC1F4FBD6EC9}"/>
    <cellStyle name="20% - Accent6 6 5" xfId="481" xr:uid="{767BD125-D0DB-4DC4-8670-8D1E3C6DDC1F}"/>
    <cellStyle name="20% - Accent6 6 6" xfId="482" xr:uid="{17121D0A-3318-4294-BB2A-0260C4BD0598}"/>
    <cellStyle name="20% - Accent6 6 7" xfId="483" xr:uid="{A1005B18-0C78-4399-9466-7B3F18EEEC1A}"/>
    <cellStyle name="20% - Accent6 6 8" xfId="2491" xr:uid="{84883F2C-AD27-4D97-B6C7-59DEE0246FA3}"/>
    <cellStyle name="20% - Accent6 6 9" xfId="2492" xr:uid="{5BCB6181-3C7F-467A-A85C-116C61B51778}"/>
    <cellStyle name="20% - Accent6 6_ContasExternas" xfId="2493" xr:uid="{AB7EE4EC-9C30-48C7-82C3-554A48A41E89}"/>
    <cellStyle name="20% - Accent6 7" xfId="484" xr:uid="{4AAE0711-4DE2-41EA-8F4B-85A6242F3B6F}"/>
    <cellStyle name="20% - Accent6 7 10" xfId="2494" xr:uid="{63F5F877-A7B8-49A7-BF19-43FF0959C9F1}"/>
    <cellStyle name="20% - Accent6 7 11" xfId="2495" xr:uid="{44AEA536-38B6-413F-AFB8-244805BAB7BE}"/>
    <cellStyle name="20% - Accent6 7 12" xfId="2496" xr:uid="{17EC9F9B-E299-4BE1-832E-1FC54AB81BE2}"/>
    <cellStyle name="20% - Accent6 7 2" xfId="485" xr:uid="{EE0E6A3B-02BB-4D47-9EDA-1765A5A8A926}"/>
    <cellStyle name="20% - Accent6 7 3" xfId="486" xr:uid="{AEA3D811-C659-4C66-ADDA-97102A784022}"/>
    <cellStyle name="20% - Accent6 7 4" xfId="487" xr:uid="{C7022980-FA2D-460E-9336-84DE29C49D1B}"/>
    <cellStyle name="20% - Accent6 7 5" xfId="488" xr:uid="{42DF1893-07BA-434D-9304-92C184060785}"/>
    <cellStyle name="20% - Accent6 7 6" xfId="489" xr:uid="{E7E299F2-5318-4891-B476-1CB57F53776E}"/>
    <cellStyle name="20% - Accent6 7 7" xfId="490" xr:uid="{77B24D99-C17D-4DE4-B5EC-EA5093171F91}"/>
    <cellStyle name="20% - Accent6 7 8" xfId="2497" xr:uid="{9BAF56D3-B8CB-49E7-92BD-422D4DDF13A1}"/>
    <cellStyle name="20% - Accent6 7 9" xfId="2498" xr:uid="{4B00CC1A-4C03-409F-92E3-27A6C18E64A4}"/>
    <cellStyle name="20% - Accent6 7_ContasExternas" xfId="2499" xr:uid="{7D7498C9-E8EC-4849-A9E3-49DF44B54BCF}"/>
    <cellStyle name="20% - Accent6 8" xfId="491" xr:uid="{1D10CED9-7A9A-44A3-8104-B5E81177983E}"/>
    <cellStyle name="20% - Accent6 8 10" xfId="2500" xr:uid="{D80CEAD8-A1E6-415B-923A-D478F5E598E3}"/>
    <cellStyle name="20% - Accent6 8 11" xfId="2501" xr:uid="{EDB1F7C8-B4D9-440A-8BE9-31CB13B99A9D}"/>
    <cellStyle name="20% - Accent6 8 12" xfId="2502" xr:uid="{13FA5EBF-AA9E-480D-AC83-D23E63092A81}"/>
    <cellStyle name="20% - Accent6 8 2" xfId="492" xr:uid="{C4D6294E-C67F-48C8-A39D-0E8C3129BC68}"/>
    <cellStyle name="20% - Accent6 8 3" xfId="493" xr:uid="{49A2EB8A-2793-4B12-A7B0-0C0A6343A864}"/>
    <cellStyle name="20% - Accent6 8 4" xfId="494" xr:uid="{8BBFEA4D-F9B3-4E50-BC3C-46599D569D30}"/>
    <cellStyle name="20% - Accent6 8 5" xfId="495" xr:uid="{A870B26D-637E-4D4F-BD60-6145955ECC00}"/>
    <cellStyle name="20% - Accent6 8 6" xfId="496" xr:uid="{F75B09F9-4026-48FC-9887-FADB3728DADF}"/>
    <cellStyle name="20% - Accent6 8 7" xfId="497" xr:uid="{B0AD34BC-4B04-4F9A-A8FA-765B691F40BB}"/>
    <cellStyle name="20% - Accent6 8 8" xfId="2503" xr:uid="{7BC7F3D3-791A-4938-BF8D-F89C72FED87D}"/>
    <cellStyle name="20% - Accent6 8 9" xfId="2504" xr:uid="{E4BB089C-2D92-4AF3-83A3-A7079C9D5959}"/>
    <cellStyle name="20% - Accent6 8_ContasExternas" xfId="2505" xr:uid="{DF9A3812-6DAE-4DEC-8751-18A1040C76E8}"/>
    <cellStyle name="20% - Accent6 9" xfId="2506" xr:uid="{1811B596-B2B0-4ADC-B901-8CF0A26704C5}"/>
    <cellStyle name="40% - Accent1" xfId="63" builtinId="31" customBuiltin="1"/>
    <cellStyle name="40% - Accent1 2" xfId="498" xr:uid="{604BC0AC-0B68-4E28-8D28-8EA2B2E8060D}"/>
    <cellStyle name="40% - Accent1 2 10" xfId="2507" xr:uid="{CEE4CFB8-C1C0-4148-A18A-6891561F6F2A}"/>
    <cellStyle name="40% - Accent1 2 11" xfId="2508" xr:uid="{F325CECB-E7B5-49AA-9D41-AB3AFAC4562C}"/>
    <cellStyle name="40% - Accent1 2 12" xfId="2509" xr:uid="{BCDBCE1A-5E32-459F-B3AE-35D2DACD3200}"/>
    <cellStyle name="40% - Accent1 2 2" xfId="499" xr:uid="{0ACE50AC-EF9A-4AA4-9F9F-87265061A1C6}"/>
    <cellStyle name="40% - Accent1 2 3" xfId="500" xr:uid="{D0F4FF85-2DB3-4464-874A-BA67288049B5}"/>
    <cellStyle name="40% - Accent1 2 4" xfId="501" xr:uid="{9F0F2DD1-6FBA-4FA7-A1EC-CF277DED79E6}"/>
    <cellStyle name="40% - Accent1 2 5" xfId="502" xr:uid="{16E5E239-C8FF-48EF-A89E-DDF8287C19E4}"/>
    <cellStyle name="40% - Accent1 2 6" xfId="503" xr:uid="{17A6C24A-008F-443E-BD37-9EAC628DF854}"/>
    <cellStyle name="40% - Accent1 2 7" xfId="504" xr:uid="{4EE08F44-C5DF-4C2D-8055-59C64E21D086}"/>
    <cellStyle name="40% - Accent1 2 8" xfId="2510" xr:uid="{94038C7F-4D5D-489A-97E6-DE73AF91E3E9}"/>
    <cellStyle name="40% - Accent1 2 9" xfId="2511" xr:uid="{EEE0A2D8-D7E3-4A29-B6FF-04F1C576D824}"/>
    <cellStyle name="40% - Accent1 2_ContasExternas" xfId="2512" xr:uid="{414D57A0-0759-49A3-85B9-01E9AD6114CA}"/>
    <cellStyle name="40% - Accent1 3" xfId="505" xr:uid="{66CDEB0F-C7B1-4919-85DA-E34BF8AB16B6}"/>
    <cellStyle name="40% - Accent1 3 10" xfId="2513" xr:uid="{388164C8-DF6D-4984-8517-C0605D2339A1}"/>
    <cellStyle name="40% - Accent1 3 11" xfId="2514" xr:uid="{90B5D5B2-1F3E-4CA4-8023-61E024F17745}"/>
    <cellStyle name="40% - Accent1 3 12" xfId="2515" xr:uid="{311CDBC3-1845-4791-88D4-0125947AD02C}"/>
    <cellStyle name="40% - Accent1 3 2" xfId="506" xr:uid="{DF7FD321-D676-4750-90E9-3DB8CD54120B}"/>
    <cellStyle name="40% - Accent1 3 3" xfId="507" xr:uid="{DFD298BC-C1FF-46FF-A921-8EE82DE8C997}"/>
    <cellStyle name="40% - Accent1 3 4" xfId="508" xr:uid="{6118EC48-4DC6-4034-B2E2-2E117AE39E4F}"/>
    <cellStyle name="40% - Accent1 3 5" xfId="509" xr:uid="{E7EC0401-0E23-47C4-8A0A-A17A7E30DEA3}"/>
    <cellStyle name="40% - Accent1 3 6" xfId="510" xr:uid="{B47DA991-704E-48F6-A457-691F4159A41E}"/>
    <cellStyle name="40% - Accent1 3 7" xfId="511" xr:uid="{459B5A62-ED53-4706-BE35-05ED7AF2C5E4}"/>
    <cellStyle name="40% - Accent1 3 8" xfId="2516" xr:uid="{6DCB3A1F-9A70-4596-8037-DCDFE1EFA6E2}"/>
    <cellStyle name="40% - Accent1 3 9" xfId="2517" xr:uid="{64A0A65C-EBF7-4233-998B-32283AD0C1F1}"/>
    <cellStyle name="40% - Accent1 3_ContasExternas" xfId="2518" xr:uid="{47BA8A47-7AB8-4D91-98DD-B0C3359CAACE}"/>
    <cellStyle name="40% - Accent1 4" xfId="512" xr:uid="{74FC3038-832B-4617-A9A0-F92F3D375061}"/>
    <cellStyle name="40% - Accent1 4 10" xfId="2519" xr:uid="{C33EB539-8C28-40E8-A642-ECAF7AC86890}"/>
    <cellStyle name="40% - Accent1 4 11" xfId="2520" xr:uid="{4DB551D3-C1C6-4925-9048-BDB7CFEC395D}"/>
    <cellStyle name="40% - Accent1 4 12" xfId="2521" xr:uid="{611383FF-DB63-4F2E-8F17-43FCF0E482B2}"/>
    <cellStyle name="40% - Accent1 4 2" xfId="513" xr:uid="{935431EB-46E1-4095-8B60-6C45DF3048DD}"/>
    <cellStyle name="40% - Accent1 4 3" xfId="514" xr:uid="{EB58C0A9-4E22-47BF-A10C-6096B39DFB0A}"/>
    <cellStyle name="40% - Accent1 4 4" xfId="515" xr:uid="{163973A4-5D90-4C2F-8A81-BC9E74950255}"/>
    <cellStyle name="40% - Accent1 4 5" xfId="516" xr:uid="{8981D1BE-8608-46C9-B607-C9D604A54AA9}"/>
    <cellStyle name="40% - Accent1 4 6" xfId="517" xr:uid="{4FE7C17E-E861-472A-BCC7-B6E244604628}"/>
    <cellStyle name="40% - Accent1 4 7" xfId="518" xr:uid="{F371ED64-2FF7-4842-B8FC-1532FE1F3392}"/>
    <cellStyle name="40% - Accent1 4 8" xfId="2522" xr:uid="{74A6406F-CC09-4ED7-A9F6-9B5513961762}"/>
    <cellStyle name="40% - Accent1 4 9" xfId="2523" xr:uid="{B68CDC80-B80B-4B29-B3C3-648BDF05508E}"/>
    <cellStyle name="40% - Accent1 4_ContasExternas" xfId="2524" xr:uid="{A05F2EC3-F128-4587-AB3F-B09141A51C09}"/>
    <cellStyle name="40% - Accent1 5" xfId="519" xr:uid="{7EAAE023-3685-48DE-9EF3-BC3C12258119}"/>
    <cellStyle name="40% - Accent1 5 10" xfId="2525" xr:uid="{89F813C3-DD9F-4BDB-BB44-9840D0CA7178}"/>
    <cellStyle name="40% - Accent1 5 11" xfId="2526" xr:uid="{8A8C12D4-F2F6-4301-A3E9-577C2987FEB1}"/>
    <cellStyle name="40% - Accent1 5 12" xfId="2527" xr:uid="{88997294-47F4-43FF-92D1-345CF3A78B68}"/>
    <cellStyle name="40% - Accent1 5 2" xfId="520" xr:uid="{89A900C9-0E4E-4D12-8B1C-C11BD4963CB2}"/>
    <cellStyle name="40% - Accent1 5 3" xfId="521" xr:uid="{698F71AB-A6A3-43F1-B695-B5503CC4B4C3}"/>
    <cellStyle name="40% - Accent1 5 4" xfId="522" xr:uid="{DC92E85D-874E-493A-9E86-E1BB85C40AB3}"/>
    <cellStyle name="40% - Accent1 5 5" xfId="523" xr:uid="{72BC8D73-B0B6-470B-9B69-1EE253DAC8DD}"/>
    <cellStyle name="40% - Accent1 5 6" xfId="524" xr:uid="{F96D4752-CF22-4190-9A39-92A400146AD8}"/>
    <cellStyle name="40% - Accent1 5 7" xfId="525" xr:uid="{87C07F3B-45D7-404D-BFA7-51471655FD69}"/>
    <cellStyle name="40% - Accent1 5 8" xfId="2528" xr:uid="{3BCE295A-2D9F-41E7-BD30-4A6FDA2E0341}"/>
    <cellStyle name="40% - Accent1 5 9" xfId="2529" xr:uid="{3C697DA4-40CC-4BFD-9273-2D4FD76882C5}"/>
    <cellStyle name="40% - Accent1 5_ContasExternas" xfId="2530" xr:uid="{EEF7D1A6-4A08-40B5-8955-61D092856399}"/>
    <cellStyle name="40% - Accent1 6" xfId="526" xr:uid="{3539F8CC-DF02-4DE0-95E1-FFBF01CCD264}"/>
    <cellStyle name="40% - Accent1 6 10" xfId="2531" xr:uid="{36EC17DF-8032-43B4-9D5B-2540554E5630}"/>
    <cellStyle name="40% - Accent1 6 11" xfId="2532" xr:uid="{CFBDAD71-28EC-431C-9FE5-BEAA94505F94}"/>
    <cellStyle name="40% - Accent1 6 12" xfId="2533" xr:uid="{3759A59A-4CBF-429F-B518-9D809367A75A}"/>
    <cellStyle name="40% - Accent1 6 2" xfId="527" xr:uid="{D478457E-77E0-4659-A980-C56FDC39B376}"/>
    <cellStyle name="40% - Accent1 6 3" xfId="528" xr:uid="{AC39030B-E182-48C9-8252-7E79DC3F6381}"/>
    <cellStyle name="40% - Accent1 6 4" xfId="529" xr:uid="{D0E0977B-5156-4112-83E6-404F72F9A46D}"/>
    <cellStyle name="40% - Accent1 6 5" xfId="530" xr:uid="{10DCC128-8364-4F57-9377-FA954F64FE59}"/>
    <cellStyle name="40% - Accent1 6 6" xfId="531" xr:uid="{6299A1D6-A6D3-4CFC-B332-C2193FD0864D}"/>
    <cellStyle name="40% - Accent1 6 7" xfId="532" xr:uid="{6325E958-C2E1-41B2-935A-03A65489F7E7}"/>
    <cellStyle name="40% - Accent1 6 8" xfId="2534" xr:uid="{7BE64969-D4C1-4D40-9BF5-13F93F82D6CF}"/>
    <cellStyle name="40% - Accent1 6 9" xfId="2535" xr:uid="{007BEEAE-358E-4D50-BD82-946D0E780B8E}"/>
    <cellStyle name="40% - Accent1 6_ContasExternas" xfId="2536" xr:uid="{879D9FAC-B8B9-4EA8-B8AE-FF634C0FBFB2}"/>
    <cellStyle name="40% - Accent1 7" xfId="533" xr:uid="{97C21B2C-A19A-490F-821B-5F6A18B6DE68}"/>
    <cellStyle name="40% - Accent1 7 10" xfId="2537" xr:uid="{4517FC41-74F6-49C3-9D28-06A619A4F61E}"/>
    <cellStyle name="40% - Accent1 7 11" xfId="2538" xr:uid="{6DFC3BC8-2516-4923-B13D-2F155F3C7EF4}"/>
    <cellStyle name="40% - Accent1 7 12" xfId="2539" xr:uid="{27D04ACA-2FD7-4B87-ADDE-E3C8CCBB2AE9}"/>
    <cellStyle name="40% - Accent1 7 2" xfId="534" xr:uid="{47D55F57-7F9A-49A3-8255-D0D36C56C8AA}"/>
    <cellStyle name="40% - Accent1 7 3" xfId="535" xr:uid="{E608FED1-8B99-4F32-BB6E-B0F7E251DA38}"/>
    <cellStyle name="40% - Accent1 7 4" xfId="536" xr:uid="{57B5F969-32D9-4F31-92BF-6477047E0478}"/>
    <cellStyle name="40% - Accent1 7 5" xfId="537" xr:uid="{32864C67-A9F9-4B1D-84ED-DA5CA448291A}"/>
    <cellStyle name="40% - Accent1 7 6" xfId="538" xr:uid="{83A21DDA-2A91-4974-BF43-0287B33A6B1E}"/>
    <cellStyle name="40% - Accent1 7 7" xfId="539" xr:uid="{87F9FE07-A5F5-4B1B-8C4A-704A8ED29347}"/>
    <cellStyle name="40% - Accent1 7 8" xfId="2540" xr:uid="{4A140B02-85D7-4DC3-8D73-CB601DE6621C}"/>
    <cellStyle name="40% - Accent1 7 9" xfId="2541" xr:uid="{74BAC461-4024-45ED-8327-90450E64AA31}"/>
    <cellStyle name="40% - Accent1 7_ContasExternas" xfId="2542" xr:uid="{EAD7839A-6C56-476B-B50F-CEE8F1D9C824}"/>
    <cellStyle name="40% - Accent1 8" xfId="540" xr:uid="{2714F263-B892-4752-9888-D3D5287C34AE}"/>
    <cellStyle name="40% - Accent1 8 10" xfId="2543" xr:uid="{47B44421-5E1C-4201-B46C-D138B7B91D0F}"/>
    <cellStyle name="40% - Accent1 8 11" xfId="2544" xr:uid="{52CC1CB3-424C-43B3-B8E6-858801F3D232}"/>
    <cellStyle name="40% - Accent1 8 12" xfId="2545" xr:uid="{434209CC-A250-4FA1-AD15-B6E1CA227E88}"/>
    <cellStyle name="40% - Accent1 8 2" xfId="541" xr:uid="{D8977556-98F8-4A08-96AF-4B806482A680}"/>
    <cellStyle name="40% - Accent1 8 3" xfId="542" xr:uid="{1286A15B-D7D1-4527-9A13-C8B7B2E5E26D}"/>
    <cellStyle name="40% - Accent1 8 4" xfId="543" xr:uid="{70A6AA2E-CB9A-4EDA-B44D-B051B6F0A581}"/>
    <cellStyle name="40% - Accent1 8 5" xfId="544" xr:uid="{C0C2A6B2-BD48-400E-AFD7-4B45EA78B2E8}"/>
    <cellStyle name="40% - Accent1 8 6" xfId="545" xr:uid="{D54EAAE4-E97B-43B2-8F68-11C27AF3316D}"/>
    <cellStyle name="40% - Accent1 8 7" xfId="546" xr:uid="{7E573029-EBD2-421E-A724-29FC11F61CFE}"/>
    <cellStyle name="40% - Accent1 8 8" xfId="2546" xr:uid="{82BF63CC-E56A-4BD3-9B62-3FBACEDECD1B}"/>
    <cellStyle name="40% - Accent1 8 9" xfId="2547" xr:uid="{57CDD671-E5CB-412C-9A5F-9A984EC3B971}"/>
    <cellStyle name="40% - Accent1 8_ContasExternas" xfId="2548" xr:uid="{D05C6386-A554-4A06-9FAE-FCA8E0AB9853}"/>
    <cellStyle name="40% - Accent1 9" xfId="2549" xr:uid="{1C9571AF-5062-4BC8-B4A4-817456D08433}"/>
    <cellStyle name="40% - Accent2" xfId="64" builtinId="35" customBuiltin="1"/>
    <cellStyle name="40% - Accent2 10" xfId="2550" xr:uid="{A5DCEA06-B91A-40DC-98E6-1655E0BB3567}"/>
    <cellStyle name="40% - Accent2 2" xfId="547" xr:uid="{300DB25E-4EE0-4E9C-8198-F5AE7F13BC20}"/>
    <cellStyle name="40% - Accent2 2 10" xfId="2551" xr:uid="{EF9A64A7-8E45-48E7-BE78-1383A47EADA1}"/>
    <cellStyle name="40% - Accent2 2 11" xfId="2552" xr:uid="{23EB49E8-9BF7-480B-A006-C223E82A2176}"/>
    <cellStyle name="40% - Accent2 2 12" xfId="2553" xr:uid="{70EE892C-F97F-4EFB-BE9A-F2C4C212C29E}"/>
    <cellStyle name="40% - Accent2 2 2" xfId="548" xr:uid="{E2B80689-DF50-4D72-AA8A-31471EC68D58}"/>
    <cellStyle name="40% - Accent2 2 3" xfId="549" xr:uid="{4E20FAA3-8741-444B-B879-D6688DF3DF93}"/>
    <cellStyle name="40% - Accent2 2 4" xfId="550" xr:uid="{D8A3C5B5-C7C0-47BE-959F-D7E41449B068}"/>
    <cellStyle name="40% - Accent2 2 5" xfId="551" xr:uid="{F8E75725-AAF5-42A0-8F0A-6A76474BC9D8}"/>
    <cellStyle name="40% - Accent2 2 6" xfId="552" xr:uid="{283069DE-C28A-4FBA-8AE9-5B08518D2003}"/>
    <cellStyle name="40% - Accent2 2 7" xfId="553" xr:uid="{24026B8F-667E-44BF-A76D-84B2B9B1139C}"/>
    <cellStyle name="40% - Accent2 2 8" xfId="2554" xr:uid="{0FDD5DB0-C6AC-4901-8C88-268C459062D1}"/>
    <cellStyle name="40% - Accent2 2 9" xfId="2555" xr:uid="{235FAD80-BD5A-4AFC-9ECC-95D076AF240B}"/>
    <cellStyle name="40% - Accent2 2_ContasExternas" xfId="2556" xr:uid="{9F948579-413F-4A72-90CF-9BAFD46C9A94}"/>
    <cellStyle name="40% - Accent2 3" xfId="554" xr:uid="{B1C08CD3-DF62-4971-AAF7-FC575FA0B5A4}"/>
    <cellStyle name="40% - Accent2 3 10" xfId="2557" xr:uid="{7E2D3958-4D74-4315-ABE3-8894A227F707}"/>
    <cellStyle name="40% - Accent2 3 11" xfId="2558" xr:uid="{B651F5B8-1FC0-40C4-95FE-072575D874ED}"/>
    <cellStyle name="40% - Accent2 3 12" xfId="2559" xr:uid="{45458134-F3EB-4086-93E4-A2A5EE5C6B9A}"/>
    <cellStyle name="40% - Accent2 3 2" xfId="555" xr:uid="{37EA2D41-6095-4745-948C-D33FF8B83097}"/>
    <cellStyle name="40% - Accent2 3 3" xfId="556" xr:uid="{483F1120-EC9C-4EC9-ACD8-5A4838DA9B5C}"/>
    <cellStyle name="40% - Accent2 3 4" xfId="557" xr:uid="{04A9F89F-9564-4640-AD53-C2611A30DA0A}"/>
    <cellStyle name="40% - Accent2 3 5" xfId="558" xr:uid="{AE9136B1-7C76-4ACE-9D75-4D164F86C154}"/>
    <cellStyle name="40% - Accent2 3 6" xfId="559" xr:uid="{1AD2E885-AF5F-42EA-BE8A-0A9D28CA80D4}"/>
    <cellStyle name="40% - Accent2 3 7" xfId="560" xr:uid="{A4412E1B-10B7-492E-ACE1-8C5D85EF07E5}"/>
    <cellStyle name="40% - Accent2 3 8" xfId="2560" xr:uid="{4D090799-70CD-4ADF-A858-804770E1B3EC}"/>
    <cellStyle name="40% - Accent2 3 9" xfId="2561" xr:uid="{06AA7575-E392-4F5B-B491-60C87D738BD3}"/>
    <cellStyle name="40% - Accent2 3_ContasExternas" xfId="2562" xr:uid="{D186139C-3461-4346-A115-DEC819CC62CB}"/>
    <cellStyle name="40% - Accent2 4" xfId="561" xr:uid="{2A6E1633-983E-4785-B1F6-816800A8F42C}"/>
    <cellStyle name="40% - Accent2 4 10" xfId="2563" xr:uid="{03E7C2C2-E678-47F6-A5C3-F4082397322A}"/>
    <cellStyle name="40% - Accent2 4 11" xfId="2564" xr:uid="{D1C1032A-8129-4221-97AE-24EFF5276D5A}"/>
    <cellStyle name="40% - Accent2 4 12" xfId="2565" xr:uid="{5F188220-A2C4-4C08-9516-115B62D0DD05}"/>
    <cellStyle name="40% - Accent2 4 2" xfId="562" xr:uid="{F0DB6A3C-4F4E-491F-9C2D-380A764CBF2A}"/>
    <cellStyle name="40% - Accent2 4 3" xfId="563" xr:uid="{ECE89FCF-7DA2-4B11-B06F-4CDEA8844144}"/>
    <cellStyle name="40% - Accent2 4 4" xfId="564" xr:uid="{2224AADA-DAB0-408B-8844-FAAB9DA071F5}"/>
    <cellStyle name="40% - Accent2 4 5" xfId="565" xr:uid="{12A36A9B-C6A2-47A2-A7F6-94B02A6D49B6}"/>
    <cellStyle name="40% - Accent2 4 6" xfId="566" xr:uid="{A863C092-9417-4838-AF3D-AA8ED17B0923}"/>
    <cellStyle name="40% - Accent2 4 7" xfId="567" xr:uid="{8120747A-00C3-456F-B015-CB6B4E5BE719}"/>
    <cellStyle name="40% - Accent2 4 8" xfId="2566" xr:uid="{7E074061-8478-4DF0-8113-F0AAC8893FCC}"/>
    <cellStyle name="40% - Accent2 4 9" xfId="2567" xr:uid="{479D94B5-564A-4D86-A51E-93B12A03E4FC}"/>
    <cellStyle name="40% - Accent2 4_ContasExternas" xfId="2568" xr:uid="{CF42BC50-F78D-46F8-A475-B26CE8A27E45}"/>
    <cellStyle name="40% - Accent2 5" xfId="568" xr:uid="{6DC95B18-367D-4818-9E47-A4C87854B971}"/>
    <cellStyle name="40% - Accent2 5 10" xfId="2569" xr:uid="{A6772586-7C99-4419-9CFA-8C12C57A6123}"/>
    <cellStyle name="40% - Accent2 5 11" xfId="2570" xr:uid="{9A4EABDB-BC68-497F-8BCD-6CBBA3C2A94B}"/>
    <cellStyle name="40% - Accent2 5 12" xfId="2571" xr:uid="{29E2969A-3A53-47DD-94B0-1F2379B16048}"/>
    <cellStyle name="40% - Accent2 5 2" xfId="569" xr:uid="{5430F589-0FA1-41CF-82BF-F17A1188E818}"/>
    <cellStyle name="40% - Accent2 5 3" xfId="570" xr:uid="{A7D65835-832A-4391-94FE-2966C4C4240F}"/>
    <cellStyle name="40% - Accent2 5 4" xfId="571" xr:uid="{DDE96A42-8F33-485B-873E-7E2445D83931}"/>
    <cellStyle name="40% - Accent2 5 5" xfId="572" xr:uid="{31A2C2E7-AD80-4184-AEDA-F0AABF639EFD}"/>
    <cellStyle name="40% - Accent2 5 6" xfId="573" xr:uid="{2E04D32E-4159-428D-B00A-024DB4ABBEAB}"/>
    <cellStyle name="40% - Accent2 5 7" xfId="574" xr:uid="{0C840CBA-BD04-4943-A227-27FB8357E860}"/>
    <cellStyle name="40% - Accent2 5 8" xfId="2572" xr:uid="{C6948D94-6E7B-4C11-8BA1-FE228812FB75}"/>
    <cellStyle name="40% - Accent2 5 9" xfId="2573" xr:uid="{7130250A-6B6C-4DAC-8715-B6162A6FD32C}"/>
    <cellStyle name="40% - Accent2 5_ContasExternas" xfId="2574" xr:uid="{E1D5D6A8-042E-4583-BED4-5708C358E719}"/>
    <cellStyle name="40% - Accent2 6" xfId="2575" xr:uid="{0FA7B370-CB4D-4162-A598-7935417311CB}"/>
    <cellStyle name="40% - Accent2 6 2" xfId="2576" xr:uid="{599353DD-4014-4738-AAB0-3A01DF2B156E}"/>
    <cellStyle name="40% - Accent2 6 3" xfId="2577" xr:uid="{A461593B-D8AC-481C-83ED-0D18CD272C2D}"/>
    <cellStyle name="40% - Accent2 6 4" xfId="2578" xr:uid="{55E7FAE2-493E-4FB6-AB69-91BFDB8F411D}"/>
    <cellStyle name="40% - Accent2 6_ContasExternas" xfId="2579" xr:uid="{F09A43A6-B8E3-406A-8F0B-D15422EC288B}"/>
    <cellStyle name="40% - Accent2 7" xfId="2580" xr:uid="{228564A5-B660-4094-A01A-377D776DF45D}"/>
    <cellStyle name="40% - Accent2 8" xfId="2581" xr:uid="{0ED25CE1-471B-42D2-8EBD-3EFDF1A188CF}"/>
    <cellStyle name="40% - Accent2 9" xfId="2582" xr:uid="{DF9A9DAF-3867-45AB-9CD1-2E2BB2A57CC5}"/>
    <cellStyle name="40% - Accent3" xfId="65" builtinId="39" customBuiltin="1"/>
    <cellStyle name="40% - Accent3 2" xfId="575" xr:uid="{3CB0A73A-91AF-4373-A3B8-91E98C5C55FC}"/>
    <cellStyle name="40% - Accent3 2 10" xfId="2583" xr:uid="{9165E10C-6AAA-4F8B-8BE2-7A4A9C5BD54D}"/>
    <cellStyle name="40% - Accent3 2 11" xfId="2584" xr:uid="{55F5C311-B314-4D27-BB25-6A7DD5D66CC7}"/>
    <cellStyle name="40% - Accent3 2 12" xfId="2585" xr:uid="{6BF900ED-B251-4E45-BAE6-97789488D70F}"/>
    <cellStyle name="40% - Accent3 2 2" xfId="576" xr:uid="{84F42E4A-C0B9-40CC-B419-F889E56ED5B2}"/>
    <cellStyle name="40% - Accent3 2 3" xfId="577" xr:uid="{F7520F88-71CD-4FA5-A4EE-ACFA36B76AF9}"/>
    <cellStyle name="40% - Accent3 2 4" xfId="578" xr:uid="{1A55C3F9-91DC-4D27-85A7-78488D4B7BAA}"/>
    <cellStyle name="40% - Accent3 2 5" xfId="579" xr:uid="{05E38BA4-9BEC-4844-B0A3-6256007581A4}"/>
    <cellStyle name="40% - Accent3 2 6" xfId="580" xr:uid="{3B86FBC4-D90F-432E-986E-25DA51D93B7B}"/>
    <cellStyle name="40% - Accent3 2 7" xfId="581" xr:uid="{78C900A8-15E9-4888-8A9F-FFA3963575D6}"/>
    <cellStyle name="40% - Accent3 2 8" xfId="2586" xr:uid="{96D2632B-7E26-483B-850E-61E9DC541C08}"/>
    <cellStyle name="40% - Accent3 2 9" xfId="2587" xr:uid="{6908F6EB-EBC3-403C-B0A4-B37C2664C721}"/>
    <cellStyle name="40% - Accent3 2_ContasExternas" xfId="2588" xr:uid="{12553A9C-F83B-452A-BC4C-E2B77C0F0EB4}"/>
    <cellStyle name="40% - Accent3 3" xfId="582" xr:uid="{415662D2-64BA-498F-BEAD-E79D1B5C321F}"/>
    <cellStyle name="40% - Accent3 3 10" xfId="2589" xr:uid="{18A01BBA-B06A-4397-8C39-9C12F4BEA172}"/>
    <cellStyle name="40% - Accent3 3 11" xfId="2590" xr:uid="{0BE0FEED-55EF-411E-893D-536B15BFCC5B}"/>
    <cellStyle name="40% - Accent3 3 12" xfId="2591" xr:uid="{F8205FF2-AE69-4622-8587-A959B1A888BA}"/>
    <cellStyle name="40% - Accent3 3 2" xfId="583" xr:uid="{A1DF3A29-B770-492A-8A79-C08858F89858}"/>
    <cellStyle name="40% - Accent3 3 3" xfId="584" xr:uid="{1749B0EE-873E-410A-A631-A41FF9B585B7}"/>
    <cellStyle name="40% - Accent3 3 4" xfId="585" xr:uid="{7E2B7E19-29AE-4D51-966B-844FF8420952}"/>
    <cellStyle name="40% - Accent3 3 5" xfId="586" xr:uid="{F9E67B6B-3D5B-412F-ABA7-2F22C7A7FA37}"/>
    <cellStyle name="40% - Accent3 3 6" xfId="587" xr:uid="{41094760-3828-4825-8667-969B323E8D62}"/>
    <cellStyle name="40% - Accent3 3 7" xfId="588" xr:uid="{1C3C20B6-65A4-4FC1-8544-6A71EA0DEF26}"/>
    <cellStyle name="40% - Accent3 3 8" xfId="2592" xr:uid="{21D600EC-B196-4DDA-8B7C-70D4ED561569}"/>
    <cellStyle name="40% - Accent3 3 9" xfId="2593" xr:uid="{0A5440CC-8750-47CB-8614-D8792759CDD5}"/>
    <cellStyle name="40% - Accent3 3_ContasExternas" xfId="2594" xr:uid="{CD8D6175-9B73-43E9-94CA-B0FB97B062F7}"/>
    <cellStyle name="40% - Accent3 4" xfId="589" xr:uid="{962CA8B9-83E0-4480-A3D2-3A8EEB27C569}"/>
    <cellStyle name="40% - Accent3 4 10" xfId="2595" xr:uid="{FA510DC6-52D0-49FD-82FD-25E754CD63AC}"/>
    <cellStyle name="40% - Accent3 4 11" xfId="2596" xr:uid="{48ADB5E4-2CA6-41C1-91AC-F25D60B14644}"/>
    <cellStyle name="40% - Accent3 4 12" xfId="2597" xr:uid="{24707ADB-7F2A-4E59-90CA-801C222E004A}"/>
    <cellStyle name="40% - Accent3 4 2" xfId="590" xr:uid="{719B8A2C-7425-437E-9571-AFD2899F259A}"/>
    <cellStyle name="40% - Accent3 4 3" xfId="591" xr:uid="{D8D994C1-A459-433B-B1BC-C750DFA4C929}"/>
    <cellStyle name="40% - Accent3 4 4" xfId="592" xr:uid="{A20D64E7-542B-4B9B-B421-6CCF9681244B}"/>
    <cellStyle name="40% - Accent3 4 5" xfId="593" xr:uid="{66565351-26D0-44EF-9DFA-1EECA0BAE7A4}"/>
    <cellStyle name="40% - Accent3 4 6" xfId="594" xr:uid="{724A00D4-0661-4EB7-86AA-CC9799A392B8}"/>
    <cellStyle name="40% - Accent3 4 7" xfId="595" xr:uid="{06DDFAAC-80E4-4E31-A4BE-5FA7C5949F57}"/>
    <cellStyle name="40% - Accent3 4 8" xfId="2598" xr:uid="{42ABAF21-6D2D-4A6A-8C67-9FBB94E8EBCF}"/>
    <cellStyle name="40% - Accent3 4 9" xfId="2599" xr:uid="{EF981791-C407-4A79-A8CE-4D1A5705CCE9}"/>
    <cellStyle name="40% - Accent3 4_ContasExternas" xfId="2600" xr:uid="{E0902F48-B244-4D0E-8E40-5639846DC872}"/>
    <cellStyle name="40% - Accent3 5" xfId="596" xr:uid="{708F7E62-1EFC-418D-98C2-D9EB0CD83657}"/>
    <cellStyle name="40% - Accent3 5 10" xfId="2601" xr:uid="{429170F0-EB2F-4EB8-A7E8-3F3F5DF9B0C2}"/>
    <cellStyle name="40% - Accent3 5 11" xfId="2602" xr:uid="{DC8F9ED1-30A4-4B19-B0C6-AF06CCE6CB7B}"/>
    <cellStyle name="40% - Accent3 5 12" xfId="2603" xr:uid="{66A824E7-0DC2-4AD2-A599-A5092FFF677C}"/>
    <cellStyle name="40% - Accent3 5 2" xfId="597" xr:uid="{750AC40A-86BB-48DC-AA3A-B804EB4D82EF}"/>
    <cellStyle name="40% - Accent3 5 3" xfId="598" xr:uid="{F485F2BB-4118-4B44-8D6B-35E1710C2B0E}"/>
    <cellStyle name="40% - Accent3 5 4" xfId="599" xr:uid="{BE76BB6B-ACFF-4DF1-A7AD-05DAA2A4645B}"/>
    <cellStyle name="40% - Accent3 5 5" xfId="600" xr:uid="{ADB0453E-E985-46DF-993D-8DCBE018C209}"/>
    <cellStyle name="40% - Accent3 5 6" xfId="601" xr:uid="{991E3DE9-7065-45D9-B467-EF65CD3E3900}"/>
    <cellStyle name="40% - Accent3 5 7" xfId="602" xr:uid="{4DC81DFB-6E76-4743-84CB-BE81A242E3DD}"/>
    <cellStyle name="40% - Accent3 5 8" xfId="2604" xr:uid="{FD1DCB19-14CE-44D0-9A9B-AAE043D3055F}"/>
    <cellStyle name="40% - Accent3 5 9" xfId="2605" xr:uid="{39C19EC4-9D2E-4FD8-BC22-3D1CED9CD420}"/>
    <cellStyle name="40% - Accent3 5_ContasExternas" xfId="2606" xr:uid="{4BD37AF3-7DE2-4A28-82AA-3A07BFE0F799}"/>
    <cellStyle name="40% - Accent3 6" xfId="603" xr:uid="{3F29CDF7-3A21-4365-8C49-DC3C775BFC04}"/>
    <cellStyle name="40% - Accent3 6 10" xfId="2607" xr:uid="{BC6D7BE0-8FE0-42E6-8ED7-5B6A6E3D0F27}"/>
    <cellStyle name="40% - Accent3 6 11" xfId="2608" xr:uid="{40D20A1D-05C9-47B3-97D4-FFE19B51C7FA}"/>
    <cellStyle name="40% - Accent3 6 12" xfId="2609" xr:uid="{63B370A6-D566-4DFD-84A2-4C80B2086769}"/>
    <cellStyle name="40% - Accent3 6 2" xfId="604" xr:uid="{3DD3BE53-5A17-429D-A695-CC920EBFC1B1}"/>
    <cellStyle name="40% - Accent3 6 3" xfId="605" xr:uid="{41BD4C6D-BF30-4D60-8131-13BDC88A66F4}"/>
    <cellStyle name="40% - Accent3 6 4" xfId="606" xr:uid="{6B230330-8866-4DE8-B66C-4BE63A79E67A}"/>
    <cellStyle name="40% - Accent3 6 5" xfId="607" xr:uid="{78E76DE1-D71B-483B-AA95-D5F5F5D0B99B}"/>
    <cellStyle name="40% - Accent3 6 6" xfId="608" xr:uid="{7C188802-52C9-4837-B0C6-67E795B0EB36}"/>
    <cellStyle name="40% - Accent3 6 7" xfId="609" xr:uid="{3F528844-4BE7-4DA2-8D31-78F245AEA29D}"/>
    <cellStyle name="40% - Accent3 6 8" xfId="2610" xr:uid="{009875BD-8B19-4720-A90F-93FF1774373B}"/>
    <cellStyle name="40% - Accent3 6 9" xfId="2611" xr:uid="{1F5D2A11-E1C5-4880-AD14-FC0E304592C8}"/>
    <cellStyle name="40% - Accent3 6_ContasExternas" xfId="2612" xr:uid="{9FB104C4-0F35-418D-84FC-3C298AF9D740}"/>
    <cellStyle name="40% - Accent3 7" xfId="610" xr:uid="{08458675-6937-419D-A90E-7BF574E8ADA9}"/>
    <cellStyle name="40% - Accent3 7 10" xfId="2613" xr:uid="{AD603B63-510E-42EE-AFE2-6BB1C26B0FA3}"/>
    <cellStyle name="40% - Accent3 7 11" xfId="2614" xr:uid="{35CB1E91-6EFB-46BF-935D-CF7CD0494456}"/>
    <cellStyle name="40% - Accent3 7 12" xfId="2615" xr:uid="{E718639B-5520-485F-870D-35D98153DBE6}"/>
    <cellStyle name="40% - Accent3 7 2" xfId="611" xr:uid="{EF44BB1C-333E-42A4-820F-5C5E1B029DE5}"/>
    <cellStyle name="40% - Accent3 7 3" xfId="612" xr:uid="{65AD5E8F-584C-4CA2-8FC5-B0BBEA8A6537}"/>
    <cellStyle name="40% - Accent3 7 4" xfId="613" xr:uid="{296AB0C6-6EB7-445C-8BF4-E690194CA531}"/>
    <cellStyle name="40% - Accent3 7 5" xfId="614" xr:uid="{0B56C29D-F72E-43C6-891C-70313CB01872}"/>
    <cellStyle name="40% - Accent3 7 6" xfId="615" xr:uid="{7854AD54-4FE3-4EF4-AC57-356D55EBF1EF}"/>
    <cellStyle name="40% - Accent3 7 7" xfId="616" xr:uid="{7CFB0161-8B74-4009-8FB7-D8B8F577FEC3}"/>
    <cellStyle name="40% - Accent3 7 8" xfId="2616" xr:uid="{B85A3A58-AF3A-4872-B375-C11356DE9707}"/>
    <cellStyle name="40% - Accent3 7 9" xfId="2617" xr:uid="{2BD4BB12-22D8-43CC-84EB-6EDBA163B308}"/>
    <cellStyle name="40% - Accent3 7_ContasExternas" xfId="2618" xr:uid="{BF5D0798-21D2-4DD6-8A27-421098EA5342}"/>
    <cellStyle name="40% - Accent3 8" xfId="617" xr:uid="{4002E7D9-C603-486A-B40F-DCAAE56B185D}"/>
    <cellStyle name="40% - Accent3 8 10" xfId="2619" xr:uid="{376D4CF2-832A-4837-9020-AF7CCEC9DB94}"/>
    <cellStyle name="40% - Accent3 8 11" xfId="2620" xr:uid="{4AF465B5-27A1-48AF-9030-B95420C5A6D8}"/>
    <cellStyle name="40% - Accent3 8 12" xfId="2621" xr:uid="{76C4060D-FAA6-4A89-83C0-CC9D016A39DD}"/>
    <cellStyle name="40% - Accent3 8 2" xfId="618" xr:uid="{65B0788C-F496-4F85-9EA0-C0CB9B18B192}"/>
    <cellStyle name="40% - Accent3 8 3" xfId="619" xr:uid="{C0D61DF2-8310-4006-AFFA-CC24368F7600}"/>
    <cellStyle name="40% - Accent3 8 4" xfId="620" xr:uid="{5A8F548C-DFBE-4374-A203-A593D04BE242}"/>
    <cellStyle name="40% - Accent3 8 5" xfId="621" xr:uid="{739E4587-CC6F-4446-BE7D-2350AEFBD45C}"/>
    <cellStyle name="40% - Accent3 8 6" xfId="622" xr:uid="{612C947A-1EB1-4C69-9C76-3B94C3F0BA71}"/>
    <cellStyle name="40% - Accent3 8 7" xfId="623" xr:uid="{EC569E8D-BA8C-4EA6-915B-14FD47E5104E}"/>
    <cellStyle name="40% - Accent3 8 8" xfId="2622" xr:uid="{9E395C32-DF6A-4C1C-B144-DF339F6A6B43}"/>
    <cellStyle name="40% - Accent3 8 9" xfId="2623" xr:uid="{42024EAD-E6A7-437B-8B56-78857A21C59C}"/>
    <cellStyle name="40% - Accent3 8_ContasExternas" xfId="2624" xr:uid="{9D67C82B-FE66-4406-8411-6A55128F5520}"/>
    <cellStyle name="40% - Accent3 9" xfId="2625" xr:uid="{609B2829-3559-49AF-840F-2CB8FE8FCC4A}"/>
    <cellStyle name="40% - Accent4" xfId="66" builtinId="43" customBuiltin="1"/>
    <cellStyle name="40% - Accent4 2" xfId="624" xr:uid="{8B3C3C05-3525-4E22-8AB6-ACAFAC53954E}"/>
    <cellStyle name="40% - Accent4 2 10" xfId="2626" xr:uid="{937D5780-2B47-4C0C-8172-9FF3806EBF69}"/>
    <cellStyle name="40% - Accent4 2 11" xfId="2627" xr:uid="{2D53912E-4989-4402-82F9-2DD597A4DE1E}"/>
    <cellStyle name="40% - Accent4 2 12" xfId="2628" xr:uid="{592320FB-EAE2-4ED6-8DDF-587EDD65CD46}"/>
    <cellStyle name="40% - Accent4 2 2" xfId="625" xr:uid="{64D375AE-8B72-41D6-9AC7-FDA8CDB1648E}"/>
    <cellStyle name="40% - Accent4 2 3" xfId="626" xr:uid="{18B9C703-3E1D-44D2-86E7-194EF7E767F1}"/>
    <cellStyle name="40% - Accent4 2 4" xfId="627" xr:uid="{6C30BD85-84E9-4015-A644-C548432A2E25}"/>
    <cellStyle name="40% - Accent4 2 5" xfId="628" xr:uid="{03146B54-B495-4692-8AEA-2B5C14A72196}"/>
    <cellStyle name="40% - Accent4 2 6" xfId="629" xr:uid="{3701493D-8D08-4108-B39E-855FF8E93F5E}"/>
    <cellStyle name="40% - Accent4 2 7" xfId="630" xr:uid="{ECFD86AF-3DC7-4775-817B-B2DBDAB01E3A}"/>
    <cellStyle name="40% - Accent4 2 8" xfId="2629" xr:uid="{A2E0FB95-1614-4BA0-8B51-62156A275B12}"/>
    <cellStyle name="40% - Accent4 2 9" xfId="2630" xr:uid="{AA9FC802-0456-43A8-9904-14C23559A97B}"/>
    <cellStyle name="40% - Accent4 2_ContasExternas" xfId="2631" xr:uid="{0E9CB418-5443-4B07-ACC5-79CE2A393271}"/>
    <cellStyle name="40% - Accent4 3" xfId="631" xr:uid="{5B453879-05C7-4816-8E8A-F9876D0B6ECD}"/>
    <cellStyle name="40% - Accent4 3 10" xfId="2632" xr:uid="{87857CF3-1AFD-4358-B900-9FC874D60A8C}"/>
    <cellStyle name="40% - Accent4 3 11" xfId="2633" xr:uid="{15B1DC3A-4C09-4F12-8C19-6BE86CEC72C3}"/>
    <cellStyle name="40% - Accent4 3 12" xfId="2634" xr:uid="{FC1502F1-885F-4B28-9281-C42465B93DF1}"/>
    <cellStyle name="40% - Accent4 3 2" xfId="632" xr:uid="{2E577FE7-F780-4B3D-8E38-317B91D9FB76}"/>
    <cellStyle name="40% - Accent4 3 3" xfId="633" xr:uid="{00D9B6A0-D487-4B50-8EDF-09C1C4EC59A0}"/>
    <cellStyle name="40% - Accent4 3 4" xfId="634" xr:uid="{0AC0DD76-5A06-4FD5-A0F8-7F295769F61F}"/>
    <cellStyle name="40% - Accent4 3 5" xfId="635" xr:uid="{46BC28B6-F7AD-45D3-B3E5-8B7795B63FDF}"/>
    <cellStyle name="40% - Accent4 3 6" xfId="636" xr:uid="{95417736-54F4-48A0-B1F3-90845D710B53}"/>
    <cellStyle name="40% - Accent4 3 7" xfId="637" xr:uid="{CD1DD909-A417-4090-9971-7D657BEC0D1A}"/>
    <cellStyle name="40% - Accent4 3 8" xfId="2635" xr:uid="{28F6A250-1E28-4087-B512-9FA911FCE4CB}"/>
    <cellStyle name="40% - Accent4 3 9" xfId="2636" xr:uid="{8E1DBD73-0FBA-4C40-8CBC-74010827E060}"/>
    <cellStyle name="40% - Accent4 3_ContasExternas" xfId="2637" xr:uid="{24FEFAC2-477D-4A38-ADE2-67D38FB711B4}"/>
    <cellStyle name="40% - Accent4 4" xfId="638" xr:uid="{3A78B2F4-B298-4BBC-A568-984BA2F41BF9}"/>
    <cellStyle name="40% - Accent4 4 10" xfId="2638" xr:uid="{3546F557-2130-4E30-B553-7492AF1E7ABC}"/>
    <cellStyle name="40% - Accent4 4 11" xfId="2639" xr:uid="{891DB012-579D-4F68-9BEC-E1F325F2BDAC}"/>
    <cellStyle name="40% - Accent4 4 12" xfId="2640" xr:uid="{989277FA-200B-4134-AAA8-6C9B49AFAAC7}"/>
    <cellStyle name="40% - Accent4 4 2" xfId="639" xr:uid="{51B55CFA-C537-4888-BB51-C09155AFC4F0}"/>
    <cellStyle name="40% - Accent4 4 3" xfId="640" xr:uid="{BA748438-9811-4163-9954-04794B0265B5}"/>
    <cellStyle name="40% - Accent4 4 4" xfId="641" xr:uid="{A6DF89A5-876D-49CE-8067-A6E77C047A4E}"/>
    <cellStyle name="40% - Accent4 4 5" xfId="642" xr:uid="{5782F6D0-5534-4750-AB79-EDFE0251AB17}"/>
    <cellStyle name="40% - Accent4 4 6" xfId="643" xr:uid="{56F2B240-6E08-468B-8B0E-C5082B49952C}"/>
    <cellStyle name="40% - Accent4 4 7" xfId="644" xr:uid="{D9753142-2A66-4490-89D3-9751DC20F31E}"/>
    <cellStyle name="40% - Accent4 4 8" xfId="2641" xr:uid="{17FDF6A2-B3C2-475B-80A8-ECFED9EEC276}"/>
    <cellStyle name="40% - Accent4 4 9" xfId="2642" xr:uid="{C7672E2C-EAFB-41C9-BBFE-3D54F8A4AC5A}"/>
    <cellStyle name="40% - Accent4 4_ContasExternas" xfId="2643" xr:uid="{54D6A15A-5582-4268-9B67-0F481B762FFE}"/>
    <cellStyle name="40% - Accent4 5" xfId="645" xr:uid="{1EF54CEE-401C-45FF-BAD0-0DDF406BE2AC}"/>
    <cellStyle name="40% - Accent4 5 10" xfId="2644" xr:uid="{310EFBC5-F32A-4C37-9D7F-8EAA06E33705}"/>
    <cellStyle name="40% - Accent4 5 11" xfId="2645" xr:uid="{FB77E807-FBFF-4268-8386-27E7AAAA2C0C}"/>
    <cellStyle name="40% - Accent4 5 12" xfId="2646" xr:uid="{C9FCD5A4-EE46-4AF8-80C2-7B1888D0910A}"/>
    <cellStyle name="40% - Accent4 5 2" xfId="646" xr:uid="{4C8B03EA-8210-4137-9144-9C40C2A4A69F}"/>
    <cellStyle name="40% - Accent4 5 3" xfId="647" xr:uid="{CECC6CCE-CCE0-487A-9BB0-066D5C4A9054}"/>
    <cellStyle name="40% - Accent4 5 4" xfId="648" xr:uid="{8A8D6FAE-1011-457D-8426-4D1CF51AC190}"/>
    <cellStyle name="40% - Accent4 5 5" xfId="649" xr:uid="{30B9A882-FF16-428C-98A1-DF63FC018523}"/>
    <cellStyle name="40% - Accent4 5 6" xfId="650" xr:uid="{96599BC0-17D1-45C3-9273-88FCA9C5726A}"/>
    <cellStyle name="40% - Accent4 5 7" xfId="651" xr:uid="{C338D83B-C429-4579-A30E-B2F9CA262C50}"/>
    <cellStyle name="40% - Accent4 5 8" xfId="2647" xr:uid="{562B370E-C6CE-42ED-994B-E412D8D9FDF0}"/>
    <cellStyle name="40% - Accent4 5 9" xfId="2648" xr:uid="{DAC2BF4A-C6D7-43C0-84B7-EB9720F42A9A}"/>
    <cellStyle name="40% - Accent4 5_ContasExternas" xfId="2649" xr:uid="{4F25C342-1A67-4FBB-A803-620E8FC07C0E}"/>
    <cellStyle name="40% - Accent4 6" xfId="652" xr:uid="{375CF308-124C-41D0-847E-D42B80EB1A82}"/>
    <cellStyle name="40% - Accent4 6 10" xfId="2650" xr:uid="{405F007D-36FE-4FED-A814-14338A2E3DD9}"/>
    <cellStyle name="40% - Accent4 6 11" xfId="2651" xr:uid="{5B093554-690A-48D1-A0B2-E164B81289FB}"/>
    <cellStyle name="40% - Accent4 6 12" xfId="2652" xr:uid="{8FFA1BB8-3708-4576-9C53-4BD0E6537001}"/>
    <cellStyle name="40% - Accent4 6 2" xfId="653" xr:uid="{282A9CD1-9655-4AAB-AE78-27484C25949A}"/>
    <cellStyle name="40% - Accent4 6 3" xfId="654" xr:uid="{E8B036A8-F39A-4BD7-A039-674EE67C3831}"/>
    <cellStyle name="40% - Accent4 6 4" xfId="655" xr:uid="{CD772A98-AEAD-4370-A7A9-D02ABF1C2F66}"/>
    <cellStyle name="40% - Accent4 6 5" xfId="656" xr:uid="{5168C22C-8FCE-4C94-8A88-E5F5705A3081}"/>
    <cellStyle name="40% - Accent4 6 6" xfId="657" xr:uid="{02D2D4F3-9DFA-4E6C-9CF4-2549F770792B}"/>
    <cellStyle name="40% - Accent4 6 7" xfId="658" xr:uid="{2477AB26-9D54-44FD-A4F4-5FBC56290FF2}"/>
    <cellStyle name="40% - Accent4 6 8" xfId="2653" xr:uid="{C9890CD1-EC06-4431-87C1-F2F51096F690}"/>
    <cellStyle name="40% - Accent4 6 9" xfId="2654" xr:uid="{46849B2E-6C22-49B0-9C3F-EA379FD76C03}"/>
    <cellStyle name="40% - Accent4 6_ContasExternas" xfId="2655" xr:uid="{4314C6C7-E314-4691-A566-604E9C0A6DB1}"/>
    <cellStyle name="40% - Accent4 7" xfId="659" xr:uid="{D643C34B-33E4-442D-9AAD-CAF01EBFD4EE}"/>
    <cellStyle name="40% - Accent4 7 10" xfId="2656" xr:uid="{BDBAC5DC-B048-4D35-B4C2-8CC7B3B55FCD}"/>
    <cellStyle name="40% - Accent4 7 11" xfId="2657" xr:uid="{66DE01C2-A6E1-4DB9-BC54-571821504C1C}"/>
    <cellStyle name="40% - Accent4 7 12" xfId="2658" xr:uid="{D7046922-B880-4D6F-B950-1328C1B004AD}"/>
    <cellStyle name="40% - Accent4 7 2" xfId="660" xr:uid="{F85A3232-08A8-440A-949C-F295AC907825}"/>
    <cellStyle name="40% - Accent4 7 3" xfId="661" xr:uid="{15A2E222-F505-4205-B1E4-0EEF6FA9C698}"/>
    <cellStyle name="40% - Accent4 7 4" xfId="662" xr:uid="{25C90DE6-6F0E-4B75-B999-AAF30FA7EE6B}"/>
    <cellStyle name="40% - Accent4 7 5" xfId="663" xr:uid="{743D5E54-F606-484F-B130-089C0322F06C}"/>
    <cellStyle name="40% - Accent4 7 6" xfId="664" xr:uid="{41AE2014-9E91-4C9B-B3AD-E4060DEAF577}"/>
    <cellStyle name="40% - Accent4 7 7" xfId="665" xr:uid="{0CE27D0E-01A5-4E78-9FA3-44064FBB06DF}"/>
    <cellStyle name="40% - Accent4 7 8" xfId="2659" xr:uid="{536E49A3-21E9-454D-AD2C-E627EE7920CB}"/>
    <cellStyle name="40% - Accent4 7 9" xfId="2660" xr:uid="{375D835C-C4FC-406E-B5AA-138A810B54A2}"/>
    <cellStyle name="40% - Accent4 7_ContasExternas" xfId="2661" xr:uid="{F0774A0C-269D-49B8-8A82-D373982023F1}"/>
    <cellStyle name="40% - Accent4 8" xfId="666" xr:uid="{27EF50EA-5667-4CB7-880D-D3BCACC8DC76}"/>
    <cellStyle name="40% - Accent4 8 10" xfId="2662" xr:uid="{FCB6B395-9069-41E4-B548-73277891EFF3}"/>
    <cellStyle name="40% - Accent4 8 11" xfId="2663" xr:uid="{3C7E4711-914D-4F1A-8D12-4CDED3E1ECF5}"/>
    <cellStyle name="40% - Accent4 8 12" xfId="2664" xr:uid="{6E516903-4019-467B-AEC8-8C71C43F0242}"/>
    <cellStyle name="40% - Accent4 8 2" xfId="667" xr:uid="{B294B947-A3C7-4AD8-8CF2-1D18B6BBE5E2}"/>
    <cellStyle name="40% - Accent4 8 3" xfId="668" xr:uid="{2A4249B0-A686-4748-9318-F282D60CC0B3}"/>
    <cellStyle name="40% - Accent4 8 4" xfId="669" xr:uid="{8BD768F2-ADAB-4586-9DC0-E0E82C9DB150}"/>
    <cellStyle name="40% - Accent4 8 5" xfId="670" xr:uid="{C5A768BF-3631-43A1-B5D4-2CFD99C31B90}"/>
    <cellStyle name="40% - Accent4 8 6" xfId="671" xr:uid="{236BC581-9B03-4223-A337-E7C9EB5D1E6B}"/>
    <cellStyle name="40% - Accent4 8 7" xfId="672" xr:uid="{476A34C7-7A02-44E2-B587-7BF4973E6580}"/>
    <cellStyle name="40% - Accent4 8 8" xfId="2665" xr:uid="{EF3B7160-7890-4D55-ADD0-02336C808885}"/>
    <cellStyle name="40% - Accent4 8 9" xfId="2666" xr:uid="{38C15EBF-016A-4256-9D1B-82DBCA7EEF1B}"/>
    <cellStyle name="40% - Accent4 8_ContasExternas" xfId="2667" xr:uid="{A5BD21AC-6E7A-446A-B8E8-2C096A0FFD7A}"/>
    <cellStyle name="40% - Accent4 9" xfId="2668" xr:uid="{DC1DE9CB-DE4F-413B-AA11-F1D9281BD379}"/>
    <cellStyle name="40% - Accent5" xfId="67" builtinId="47" customBuiltin="1"/>
    <cellStyle name="40% - Accent5 2" xfId="673" xr:uid="{19593407-E7A3-43C7-99CA-EA4079468E4C}"/>
    <cellStyle name="40% - Accent5 2 10" xfId="2669" xr:uid="{A24C6F55-5823-46F0-BB71-0899C29560DE}"/>
    <cellStyle name="40% - Accent5 2 11" xfId="2670" xr:uid="{5F73C96B-0F31-4ED0-8E57-FDB961889844}"/>
    <cellStyle name="40% - Accent5 2 12" xfId="2671" xr:uid="{F5F9314E-6CB5-4883-B54E-A9E20DE77522}"/>
    <cellStyle name="40% - Accent5 2 2" xfId="674" xr:uid="{1CD37360-8C96-4A0B-A37E-805A432132F1}"/>
    <cellStyle name="40% - Accent5 2 3" xfId="675" xr:uid="{12ADB2F5-9D12-4631-BFF7-E5AABFB87FD1}"/>
    <cellStyle name="40% - Accent5 2 4" xfId="676" xr:uid="{621E836F-8104-4E26-9CC1-994AA79AAF74}"/>
    <cellStyle name="40% - Accent5 2 5" xfId="677" xr:uid="{0013FED1-56F1-452D-AB01-36B9588A83F5}"/>
    <cellStyle name="40% - Accent5 2 6" xfId="678" xr:uid="{52DEB8F6-D37F-4A98-B454-6E479C1CE1AC}"/>
    <cellStyle name="40% - Accent5 2 7" xfId="679" xr:uid="{5CE736BD-07F4-40AF-9F1D-044805E51BED}"/>
    <cellStyle name="40% - Accent5 2 8" xfId="2672" xr:uid="{898518AF-2955-4211-8441-823B0F942A22}"/>
    <cellStyle name="40% - Accent5 2 9" xfId="2673" xr:uid="{C399F7A1-4EEE-4492-B3B1-521DAF80BE45}"/>
    <cellStyle name="40% - Accent5 2_ContasExternas" xfId="2674" xr:uid="{48437747-71B4-4791-873F-7AF898DFCB24}"/>
    <cellStyle name="40% - Accent5 3" xfId="680" xr:uid="{4110FE21-98F1-413F-BEF1-9B239D8FF930}"/>
    <cellStyle name="40% - Accent5 3 10" xfId="2675" xr:uid="{A4AA145C-F17D-417D-832B-3F60B0EBB2E3}"/>
    <cellStyle name="40% - Accent5 3 11" xfId="2676" xr:uid="{C8121BA3-8151-4E72-8659-AAE2415C3D74}"/>
    <cellStyle name="40% - Accent5 3 12" xfId="2677" xr:uid="{08E23D46-07B1-42B5-B3BD-4E2557076F7A}"/>
    <cellStyle name="40% - Accent5 3 2" xfId="681" xr:uid="{9C9859CF-6AD3-4682-A849-31CFCBF0A897}"/>
    <cellStyle name="40% - Accent5 3 3" xfId="682" xr:uid="{470D697D-CC74-428A-A38B-7001963A0C7F}"/>
    <cellStyle name="40% - Accent5 3 4" xfId="683" xr:uid="{F4B23B64-1214-4969-AD8D-CCA98237B4EB}"/>
    <cellStyle name="40% - Accent5 3 5" xfId="684" xr:uid="{6EE0F8A7-149F-477F-91C1-ECB80A7B6B71}"/>
    <cellStyle name="40% - Accent5 3 6" xfId="685" xr:uid="{C03C3F5F-CAD4-4EDB-980D-B97E87B541AB}"/>
    <cellStyle name="40% - Accent5 3 7" xfId="686" xr:uid="{088393DE-B479-4D6D-B2ED-AE966D3928B6}"/>
    <cellStyle name="40% - Accent5 3 8" xfId="2678" xr:uid="{B93E5532-4C2F-4A30-A230-D59FA265E563}"/>
    <cellStyle name="40% - Accent5 3 9" xfId="2679" xr:uid="{96DA179E-3867-4886-AECF-8707E30E8A4F}"/>
    <cellStyle name="40% - Accent5 3_ContasExternas" xfId="2680" xr:uid="{4352F5C7-B501-4C07-B657-9FBE60FE07DA}"/>
    <cellStyle name="40% - Accent5 4" xfId="687" xr:uid="{5C304D2C-C333-4DFB-96D3-1F82CB5C87F5}"/>
    <cellStyle name="40% - Accent5 4 10" xfId="2681" xr:uid="{021A404F-1CA1-4268-8E67-6D5ED6899F58}"/>
    <cellStyle name="40% - Accent5 4 11" xfId="2682" xr:uid="{8B648B54-AA22-4555-8848-FDBB24E26BAE}"/>
    <cellStyle name="40% - Accent5 4 12" xfId="2683" xr:uid="{52AD8DC4-D86C-4A66-A6E1-C91089B97118}"/>
    <cellStyle name="40% - Accent5 4 2" xfId="688" xr:uid="{653561D9-4CE3-4F4F-9FDA-F43AE3615F48}"/>
    <cellStyle name="40% - Accent5 4 3" xfId="689" xr:uid="{70FC71E7-547C-4FE0-AA0A-9ED5DF0646D0}"/>
    <cellStyle name="40% - Accent5 4 4" xfId="690" xr:uid="{D097FEFC-61CC-45FE-B243-AE9A9222A40B}"/>
    <cellStyle name="40% - Accent5 4 5" xfId="691" xr:uid="{50C39298-10F5-44DD-8971-98D80452C370}"/>
    <cellStyle name="40% - Accent5 4 6" xfId="692" xr:uid="{0F97F22B-E094-4DF9-813A-3FFC656993DD}"/>
    <cellStyle name="40% - Accent5 4 7" xfId="693" xr:uid="{86462F0F-A300-438C-989A-E84B04FF403D}"/>
    <cellStyle name="40% - Accent5 4 8" xfId="2684" xr:uid="{289EE520-BE90-4057-B4B8-328822A5F8DB}"/>
    <cellStyle name="40% - Accent5 4 9" xfId="2685" xr:uid="{1A5A94BE-C102-4496-AB66-D35B11D12EF1}"/>
    <cellStyle name="40% - Accent5 4_ContasExternas" xfId="2686" xr:uid="{43CB8B7A-4E67-45CD-94D6-EE987B459466}"/>
    <cellStyle name="40% - Accent5 5" xfId="694" xr:uid="{C2C2D8B2-1F2B-41F8-B753-3F4B4DDC7DBF}"/>
    <cellStyle name="40% - Accent5 5 10" xfId="2687" xr:uid="{B11ECBE0-2861-46DA-AE44-35EA6569392E}"/>
    <cellStyle name="40% - Accent5 5 11" xfId="2688" xr:uid="{FC8273FE-EAD6-4372-926C-60C5796AA3D9}"/>
    <cellStyle name="40% - Accent5 5 12" xfId="2689" xr:uid="{3CEA771F-6E87-4152-A5B0-F4D85DF559D2}"/>
    <cellStyle name="40% - Accent5 5 2" xfId="695" xr:uid="{04D3937F-552C-49E1-AEEA-6040F6F222D1}"/>
    <cellStyle name="40% - Accent5 5 3" xfId="696" xr:uid="{419D057E-2024-412D-9ABD-89454B7A9B63}"/>
    <cellStyle name="40% - Accent5 5 4" xfId="697" xr:uid="{C56AEE0C-57E9-4E4B-90AD-F4F4C792340E}"/>
    <cellStyle name="40% - Accent5 5 5" xfId="698" xr:uid="{CB3482C0-623C-434B-A987-83061CFC3DD9}"/>
    <cellStyle name="40% - Accent5 5 6" xfId="699" xr:uid="{0D96DD74-F2D0-4227-9847-93DCF0327712}"/>
    <cellStyle name="40% - Accent5 5 7" xfId="700" xr:uid="{05A516C7-A367-4070-AC21-DB4B94E75DB6}"/>
    <cellStyle name="40% - Accent5 5 8" xfId="2690" xr:uid="{A7406865-B819-4191-8E59-5D7E12DEB7CA}"/>
    <cellStyle name="40% - Accent5 5 9" xfId="2691" xr:uid="{8F309315-4D80-405E-AB16-30E623A3ACE5}"/>
    <cellStyle name="40% - Accent5 5_ContasExternas" xfId="2692" xr:uid="{B14704E1-4756-48DA-8B10-33848CF412DB}"/>
    <cellStyle name="40% - Accent5 6" xfId="701" xr:uid="{50CF87D3-DEA4-49FC-86B1-7556D7DC1FF9}"/>
    <cellStyle name="40% - Accent5 6 10" xfId="2693" xr:uid="{F2A59237-CF11-440B-A962-2BA2AB935132}"/>
    <cellStyle name="40% - Accent5 6 11" xfId="2694" xr:uid="{251275A8-0461-4390-809D-BDF8AEA9054D}"/>
    <cellStyle name="40% - Accent5 6 12" xfId="2695" xr:uid="{0FEE9CA7-51B1-4169-9596-0FBB8A793346}"/>
    <cellStyle name="40% - Accent5 6 2" xfId="702" xr:uid="{9B7D1EF4-49B9-4C1B-8649-89768818FA9F}"/>
    <cellStyle name="40% - Accent5 6 3" xfId="703" xr:uid="{81221E61-C7F1-4D38-BAB1-123AC64FCBE4}"/>
    <cellStyle name="40% - Accent5 6 4" xfId="704" xr:uid="{9E3C76BC-E31E-4EBB-AE9C-76E42B28EC3F}"/>
    <cellStyle name="40% - Accent5 6 5" xfId="705" xr:uid="{3CCF03CC-8B09-42D3-B2D1-DA2436941EEF}"/>
    <cellStyle name="40% - Accent5 6 6" xfId="706" xr:uid="{78940AD5-F5A9-4811-8D98-9DFE171EA1EC}"/>
    <cellStyle name="40% - Accent5 6 7" xfId="707" xr:uid="{B7497CC8-8D1D-432E-9252-9E89D073D649}"/>
    <cellStyle name="40% - Accent5 6 8" xfId="2696" xr:uid="{803F7BBF-2E0C-4D11-877A-A0BDEF9A4E7B}"/>
    <cellStyle name="40% - Accent5 6 9" xfId="2697" xr:uid="{DA8E087F-992E-44F5-A193-08D878B727F4}"/>
    <cellStyle name="40% - Accent5 6_ContasExternas" xfId="2698" xr:uid="{02D7523E-2A4F-465E-B323-659B194020F5}"/>
    <cellStyle name="40% - Accent5 7" xfId="708" xr:uid="{9468970C-3246-4E8D-9BAC-1307A95A000F}"/>
    <cellStyle name="40% - Accent5 7 10" xfId="2699" xr:uid="{BA9700E4-4E29-4A64-9790-62A94A358A6A}"/>
    <cellStyle name="40% - Accent5 7 11" xfId="2700" xr:uid="{82A9A57D-A890-4F14-B317-51DC0A1DA6B9}"/>
    <cellStyle name="40% - Accent5 7 12" xfId="2701" xr:uid="{68D4A2A4-382F-48E2-9072-2643F7EC0EC2}"/>
    <cellStyle name="40% - Accent5 7 2" xfId="709" xr:uid="{4E88EA72-1ADD-47CD-B694-BBE193A8F87E}"/>
    <cellStyle name="40% - Accent5 7 3" xfId="710" xr:uid="{5602CE86-0B3F-4B8D-B67D-5F34F39D3B38}"/>
    <cellStyle name="40% - Accent5 7 4" xfId="711" xr:uid="{2FA38EBA-E093-44E7-9057-12A8B6981138}"/>
    <cellStyle name="40% - Accent5 7 5" xfId="712" xr:uid="{48A7E8A0-03A6-470D-AFDD-4844441C5B23}"/>
    <cellStyle name="40% - Accent5 7 6" xfId="713" xr:uid="{A55A7C05-B809-43B1-B7EB-73CF453E4D88}"/>
    <cellStyle name="40% - Accent5 7 7" xfId="714" xr:uid="{C40F15A0-D35E-41EB-87D0-80C6A93B4051}"/>
    <cellStyle name="40% - Accent5 7 8" xfId="2702" xr:uid="{463329FF-8397-4BA7-B62A-B2FC46E1753D}"/>
    <cellStyle name="40% - Accent5 7 9" xfId="2703" xr:uid="{81DB8C2E-E00E-412D-9779-D069E59A10EF}"/>
    <cellStyle name="40% - Accent5 7_ContasExternas" xfId="2704" xr:uid="{637F79C4-6A22-44A3-91B4-13CFBC6DD15C}"/>
    <cellStyle name="40% - Accent5 8" xfId="715" xr:uid="{B8FF180A-8671-4220-9234-D811A880402F}"/>
    <cellStyle name="40% - Accent5 8 10" xfId="2705" xr:uid="{FCAA4743-BB8C-4544-BFE2-67E987682E7D}"/>
    <cellStyle name="40% - Accent5 8 11" xfId="2706" xr:uid="{23FF9D35-C553-455D-92F8-6E8A010376C6}"/>
    <cellStyle name="40% - Accent5 8 12" xfId="2707" xr:uid="{7A608960-D5B4-47B8-AB2F-CD190D914CE1}"/>
    <cellStyle name="40% - Accent5 8 2" xfId="716" xr:uid="{99D145DF-2F44-456C-B908-DF9907C970CD}"/>
    <cellStyle name="40% - Accent5 8 3" xfId="717" xr:uid="{3DE363F6-B385-4E16-A44B-3567D2C22132}"/>
    <cellStyle name="40% - Accent5 8 4" xfId="718" xr:uid="{C7DAA0DE-3CA8-4D49-9391-C2460E14806B}"/>
    <cellStyle name="40% - Accent5 8 5" xfId="719" xr:uid="{6638AF1D-8B2C-45C0-B967-90618B2758C7}"/>
    <cellStyle name="40% - Accent5 8 6" xfId="720" xr:uid="{7DA46D2D-B793-4663-983B-49ACCA4CA8DA}"/>
    <cellStyle name="40% - Accent5 8 7" xfId="721" xr:uid="{CFCEC50F-EBB9-4643-8DF7-F3371360E33D}"/>
    <cellStyle name="40% - Accent5 8 8" xfId="2708" xr:uid="{5A854776-940A-4432-AA77-5746507A5A25}"/>
    <cellStyle name="40% - Accent5 8 9" xfId="2709" xr:uid="{A954721E-2E4A-4C41-88DE-1F5304A3622E}"/>
    <cellStyle name="40% - Accent5 8_ContasExternas" xfId="2710" xr:uid="{25F80C3F-FEA6-435D-A0F1-D60369C49C95}"/>
    <cellStyle name="40% - Accent5 9" xfId="2711" xr:uid="{D197BCC1-EF99-4E58-AC95-DFA312A52A21}"/>
    <cellStyle name="40% - Accent6" xfId="68" builtinId="51" customBuiltin="1"/>
    <cellStyle name="40% - Accent6 2" xfId="722" xr:uid="{0625316D-AF97-4824-9C5A-E97ADDF29F8F}"/>
    <cellStyle name="40% - Accent6 2 10" xfId="2712" xr:uid="{84C765D7-7EB8-43E1-B795-1CC90B21245D}"/>
    <cellStyle name="40% - Accent6 2 11" xfId="2713" xr:uid="{63E045B2-747E-469F-9C1F-E2FFC20DC330}"/>
    <cellStyle name="40% - Accent6 2 12" xfId="2714" xr:uid="{E33205E3-B064-42E4-AF0F-CEFB74AE5626}"/>
    <cellStyle name="40% - Accent6 2 2" xfId="723" xr:uid="{CC649E91-7E55-464E-AF17-69F277EAF162}"/>
    <cellStyle name="40% - Accent6 2 3" xfId="724" xr:uid="{E54DE077-923D-4705-92F1-1C5B25D5DB14}"/>
    <cellStyle name="40% - Accent6 2 4" xfId="725" xr:uid="{8E9F0B6E-C709-46CC-88C5-617855FB2FAF}"/>
    <cellStyle name="40% - Accent6 2 5" xfId="726" xr:uid="{BF9376B8-9B56-419E-B7D0-450461E4F214}"/>
    <cellStyle name="40% - Accent6 2 6" xfId="727" xr:uid="{3AA3DEF7-1237-49E1-B270-AEA055666743}"/>
    <cellStyle name="40% - Accent6 2 7" xfId="728" xr:uid="{4B85272E-933B-47E6-989F-864BD07ED071}"/>
    <cellStyle name="40% - Accent6 2 8" xfId="2715" xr:uid="{0FB5C624-E78E-40BF-8C83-2FB3A79F2FCB}"/>
    <cellStyle name="40% - Accent6 2 9" xfId="2716" xr:uid="{2C6F0D6B-2DDD-4111-86D2-ED219E75F106}"/>
    <cellStyle name="40% - Accent6 2_ContasExternas" xfId="2717" xr:uid="{C5BAECDB-A8FF-4F42-B3C4-F3FA28B372AB}"/>
    <cellStyle name="40% - Accent6 3" xfId="729" xr:uid="{F1300725-9C1D-4022-9704-86B9D07C1AE6}"/>
    <cellStyle name="40% - Accent6 3 10" xfId="2718" xr:uid="{82E8DD0A-BBD5-461E-B5F4-B1CFFB3F9EDA}"/>
    <cellStyle name="40% - Accent6 3 11" xfId="2719" xr:uid="{C538F74F-C829-4023-8904-AAB2F77D2D62}"/>
    <cellStyle name="40% - Accent6 3 12" xfId="2720" xr:uid="{44BB891B-54D9-467D-803A-E4A80D86F711}"/>
    <cellStyle name="40% - Accent6 3 2" xfId="730" xr:uid="{CC440736-BF63-4B03-B4A3-B6D0CCCC0648}"/>
    <cellStyle name="40% - Accent6 3 3" xfId="731" xr:uid="{F813386D-A49D-4259-8B8E-C525566B9835}"/>
    <cellStyle name="40% - Accent6 3 4" xfId="732" xr:uid="{9C577485-0833-492E-94A1-00EC1FFEBF18}"/>
    <cellStyle name="40% - Accent6 3 5" xfId="733" xr:uid="{4E91E5AB-CBB8-4DD6-8B7F-0FD532C5E7F5}"/>
    <cellStyle name="40% - Accent6 3 6" xfId="734" xr:uid="{571C71D8-FC04-4E64-828D-E7A64791CCDA}"/>
    <cellStyle name="40% - Accent6 3 7" xfId="735" xr:uid="{3655E3B9-DDFD-401C-8683-7EB882CE11C2}"/>
    <cellStyle name="40% - Accent6 3 8" xfId="2721" xr:uid="{82625CB4-9175-4A73-856F-AF37800A400A}"/>
    <cellStyle name="40% - Accent6 3 9" xfId="2722" xr:uid="{5CBA1B1A-5AA2-472B-8828-283605DAC16C}"/>
    <cellStyle name="40% - Accent6 3_ContasExternas" xfId="2723" xr:uid="{91A56EDD-8EB2-4C43-B859-609E2E88EE40}"/>
    <cellStyle name="40% - Accent6 4" xfId="736" xr:uid="{25509479-350F-40E2-B70E-C5DC4DA4E61A}"/>
    <cellStyle name="40% - Accent6 4 10" xfId="2724" xr:uid="{98AE485A-F1BF-4DEF-A8F6-36B045032781}"/>
    <cellStyle name="40% - Accent6 4 11" xfId="2725" xr:uid="{654887DF-859E-45E5-9523-F9210ECB58B4}"/>
    <cellStyle name="40% - Accent6 4 12" xfId="2726" xr:uid="{7E2B5959-3705-40D0-91E1-51E6DB2C1E13}"/>
    <cellStyle name="40% - Accent6 4 2" xfId="737" xr:uid="{AD969782-3222-44FC-A6DA-F215544A2906}"/>
    <cellStyle name="40% - Accent6 4 3" xfId="738" xr:uid="{9EADA035-55AA-4CFA-AF91-B817F41B7EB1}"/>
    <cellStyle name="40% - Accent6 4 4" xfId="739" xr:uid="{95D8AC74-F8C5-4CCD-9644-74816046C494}"/>
    <cellStyle name="40% - Accent6 4 5" xfId="740" xr:uid="{7A98FA21-881D-44F2-98B7-77C8177CAD25}"/>
    <cellStyle name="40% - Accent6 4 6" xfId="741" xr:uid="{08FF2CED-A1EC-4E78-8640-22AC9B65FD35}"/>
    <cellStyle name="40% - Accent6 4 7" xfId="742" xr:uid="{E84492F8-E6B7-4D44-910C-BA1B849BF285}"/>
    <cellStyle name="40% - Accent6 4 8" xfId="2727" xr:uid="{4BF9A5C9-FD6D-4148-9C5C-07961CA34752}"/>
    <cellStyle name="40% - Accent6 4 9" xfId="2728" xr:uid="{FBD2507C-A0EB-481E-92ED-6793A61BB7E3}"/>
    <cellStyle name="40% - Accent6 4_ContasExternas" xfId="2729" xr:uid="{24D8C1D6-01AB-41F5-A6A5-E5AC038AC79F}"/>
    <cellStyle name="40% - Accent6 5" xfId="743" xr:uid="{34DE6D6F-B35A-4035-BB08-0DEE4A6721DD}"/>
    <cellStyle name="40% - Accent6 5 10" xfId="2730" xr:uid="{CD38A830-5037-4DC8-9AA0-B9B58057B171}"/>
    <cellStyle name="40% - Accent6 5 11" xfId="2731" xr:uid="{8954739B-C723-4065-BF8B-F31CD83BF813}"/>
    <cellStyle name="40% - Accent6 5 12" xfId="2732" xr:uid="{525811E9-1328-441B-9B24-64A0DDCE8DA7}"/>
    <cellStyle name="40% - Accent6 5 2" xfId="744" xr:uid="{1E31FF28-F748-4B68-AFC8-EFD3312D155B}"/>
    <cellStyle name="40% - Accent6 5 3" xfId="745" xr:uid="{01BA240A-CEC9-4B85-9441-CCBE1D400B00}"/>
    <cellStyle name="40% - Accent6 5 4" xfId="746" xr:uid="{DECA31C8-33CA-4246-85B4-6423344FD912}"/>
    <cellStyle name="40% - Accent6 5 5" xfId="747" xr:uid="{67C2A493-4870-4D2F-B18D-8181BE7E5624}"/>
    <cellStyle name="40% - Accent6 5 6" xfId="748" xr:uid="{B15403D6-32CB-4368-B469-9F7F619E9C79}"/>
    <cellStyle name="40% - Accent6 5 7" xfId="749" xr:uid="{9B21270A-6268-45EB-AA26-E107AC03B8CA}"/>
    <cellStyle name="40% - Accent6 5 8" xfId="2733" xr:uid="{8B440F5A-709F-4CF2-A22C-8A2D6BCF66F1}"/>
    <cellStyle name="40% - Accent6 5 9" xfId="2734" xr:uid="{D6312A2A-4ED5-4E28-9CCD-9F886C3196CE}"/>
    <cellStyle name="40% - Accent6 5_ContasExternas" xfId="2735" xr:uid="{8438E965-A2A0-4474-95AD-8AEFDA3DBC90}"/>
    <cellStyle name="40% - Accent6 6" xfId="750" xr:uid="{8F9ADA96-40C9-4186-8A2C-A0B8BAAD1BE6}"/>
    <cellStyle name="40% - Accent6 6 10" xfId="2736" xr:uid="{B0DE5FF4-46B9-4296-B871-AC5A2171AA71}"/>
    <cellStyle name="40% - Accent6 6 11" xfId="2737" xr:uid="{17FBCC31-D6A2-4093-969D-43462C261CD8}"/>
    <cellStyle name="40% - Accent6 6 12" xfId="2738" xr:uid="{932D33C3-5C59-47BA-AFA3-D37312F86178}"/>
    <cellStyle name="40% - Accent6 6 2" xfId="751" xr:uid="{EBD61D70-F287-444F-B031-F1377E2DA86C}"/>
    <cellStyle name="40% - Accent6 6 3" xfId="752" xr:uid="{A316C61C-9F3F-4B5D-9493-39045C8896AE}"/>
    <cellStyle name="40% - Accent6 6 4" xfId="753" xr:uid="{0BEDA446-C652-4F35-8A83-D324A5E9DCB2}"/>
    <cellStyle name="40% - Accent6 6 5" xfId="754" xr:uid="{39389B9E-04C5-4CFF-BDED-3CEB4F9A8A0D}"/>
    <cellStyle name="40% - Accent6 6 6" xfId="755" xr:uid="{F8517DAD-8F0A-4BE0-AF9B-71216F397C02}"/>
    <cellStyle name="40% - Accent6 6 7" xfId="756" xr:uid="{62F1C3AC-A57C-4926-97FF-C2FB3929B983}"/>
    <cellStyle name="40% - Accent6 6 8" xfId="2739" xr:uid="{2805E09F-D842-4288-A3AD-E7E38B082046}"/>
    <cellStyle name="40% - Accent6 6 9" xfId="2740" xr:uid="{391A2B9E-D25A-497B-A52D-A2D3EA735D8F}"/>
    <cellStyle name="40% - Accent6 6_ContasExternas" xfId="2741" xr:uid="{24B84D04-7D2B-4112-88A5-A8F0966B9A97}"/>
    <cellStyle name="40% - Accent6 7" xfId="757" xr:uid="{065E191F-E56D-4344-9E46-6F286E96FB16}"/>
    <cellStyle name="40% - Accent6 7 10" xfId="2742" xr:uid="{16F27A0E-D589-4536-8D9A-A3D0DE12D18A}"/>
    <cellStyle name="40% - Accent6 7 11" xfId="2743" xr:uid="{A1566171-A14B-437B-81AF-C63A688E1551}"/>
    <cellStyle name="40% - Accent6 7 12" xfId="2744" xr:uid="{FD2BD622-3ECA-4663-8D47-D454F82E06B9}"/>
    <cellStyle name="40% - Accent6 7 2" xfId="758" xr:uid="{687BBF4D-64B7-4070-B6EC-5FCC54863C56}"/>
    <cellStyle name="40% - Accent6 7 3" xfId="759" xr:uid="{3151C0EE-2EC9-4968-8110-0AB28EC8B8DE}"/>
    <cellStyle name="40% - Accent6 7 4" xfId="760" xr:uid="{EF3D4B5A-D26F-420F-940A-8BFB288F9D90}"/>
    <cellStyle name="40% - Accent6 7 5" xfId="761" xr:uid="{A03F3492-3DF0-4B40-A1FF-9E179B0B613E}"/>
    <cellStyle name="40% - Accent6 7 6" xfId="762" xr:uid="{4D1DA860-5E46-474F-B5F0-EE2DC6125867}"/>
    <cellStyle name="40% - Accent6 7 7" xfId="763" xr:uid="{AE3EFAB0-ABA6-4839-8F60-9D87370B90F8}"/>
    <cellStyle name="40% - Accent6 7 8" xfId="2745" xr:uid="{8E40BE5F-BAB8-4701-9EAF-2565C5D8E635}"/>
    <cellStyle name="40% - Accent6 7 9" xfId="2746" xr:uid="{957149E8-8A3E-4E37-B24C-BE9B56E9A5B5}"/>
    <cellStyle name="40% - Accent6 7_ContasExternas" xfId="2747" xr:uid="{AEAE2E90-5789-4694-A193-94D401461ED3}"/>
    <cellStyle name="40% - Accent6 8" xfId="764" xr:uid="{A2024D14-0455-4C9B-A503-15885AF6CF5D}"/>
    <cellStyle name="40% - Accent6 8 10" xfId="2748" xr:uid="{52BCEFF1-8FCF-4FCC-B928-63D9D3577FDB}"/>
    <cellStyle name="40% - Accent6 8 11" xfId="2749" xr:uid="{0FEA3BF5-9787-4F61-9E76-F5EE32C2D112}"/>
    <cellStyle name="40% - Accent6 8 12" xfId="2750" xr:uid="{C8B7891E-29D9-49AF-ACC0-ADBA39E406A9}"/>
    <cellStyle name="40% - Accent6 8 2" xfId="765" xr:uid="{11062CB6-A0D7-463E-A5E7-9FC8E2CB3B8F}"/>
    <cellStyle name="40% - Accent6 8 3" xfId="766" xr:uid="{3F95EE7E-D5AA-4D93-B824-E33404380937}"/>
    <cellStyle name="40% - Accent6 8 4" xfId="767" xr:uid="{2DA00917-716D-411F-9167-868FC28326AA}"/>
    <cellStyle name="40% - Accent6 8 5" xfId="768" xr:uid="{F592F9CF-9F9A-4FB4-A6C1-91E677C401BC}"/>
    <cellStyle name="40% - Accent6 8 6" xfId="769" xr:uid="{01B6D1B7-FCC1-43AD-84D5-A36826AB5BB1}"/>
    <cellStyle name="40% - Accent6 8 7" xfId="770" xr:uid="{D9CBFFBF-F49A-4B6D-9DA0-07A0333A1FAC}"/>
    <cellStyle name="40% - Accent6 8 8" xfId="2751" xr:uid="{C888834C-D190-4894-B413-57437E9E6000}"/>
    <cellStyle name="40% - Accent6 8 9" xfId="2752" xr:uid="{88758460-AD18-40EB-A9F5-0458ADA31BC0}"/>
    <cellStyle name="40% - Accent6 8_ContasExternas" xfId="2753" xr:uid="{CB73C17E-0DEC-47EE-A106-488EE2A835DB}"/>
    <cellStyle name="40% - Accent6 9" xfId="2754" xr:uid="{B8C44C43-F2C9-49A7-B165-7BBB00FEC812}"/>
    <cellStyle name="60% - Accent1" xfId="69" builtinId="32" customBuiltin="1"/>
    <cellStyle name="60% - Accent1 2" xfId="771" xr:uid="{C902A051-58B8-4489-A51E-56899CBE6A20}"/>
    <cellStyle name="60% - Accent1 2 10" xfId="2756" xr:uid="{B6A5E120-9500-47B4-A24F-625AD7E12EC2}"/>
    <cellStyle name="60% - Accent1 2 11" xfId="2757" xr:uid="{B022B342-EAE1-4BEA-B571-14460ABCEC90}"/>
    <cellStyle name="60% - Accent1 2 12" xfId="2758" xr:uid="{F636002D-BF60-4E96-AB4C-1681506DB903}"/>
    <cellStyle name="60% - Accent1 2 2" xfId="772" xr:uid="{A74A6C41-7A25-4356-9333-B646AE3EC71F}"/>
    <cellStyle name="60% - Accent1 2 3" xfId="773" xr:uid="{D9D9860A-177D-4DCF-9B68-6374D0CD4AEA}"/>
    <cellStyle name="60% - Accent1 2 4" xfId="774" xr:uid="{C3D614BF-7164-46F8-B7FE-2931AB064791}"/>
    <cellStyle name="60% - Accent1 2 5" xfId="775" xr:uid="{7A76B48D-710D-4868-8A6D-A927A488D5DF}"/>
    <cellStyle name="60% - Accent1 2 6" xfId="776" xr:uid="{333D2806-6291-477E-A6E3-95CE3087ED49}"/>
    <cellStyle name="60% - Accent1 2 7" xfId="777" xr:uid="{3D2089CC-0651-4EB4-A42C-AFB9B5A1AD28}"/>
    <cellStyle name="60% - Accent1 2 8" xfId="2759" xr:uid="{FBED9E8B-03CC-4610-B7A4-A0268B42E501}"/>
    <cellStyle name="60% - Accent1 2 9" xfId="2760" xr:uid="{0DF2384F-169E-4B56-A5EB-AD9354885BF6}"/>
    <cellStyle name="60% - Accent1 2_Trimestral" xfId="2755" xr:uid="{A0531A7A-BEFD-47BC-BD93-53D565B434D1}"/>
    <cellStyle name="60% - Accent1 3" xfId="778" xr:uid="{E18615FF-78E3-40F2-86A3-7AAD898ABCC8}"/>
    <cellStyle name="60% - Accent1 3 10" xfId="2762" xr:uid="{1F37A5C0-01E5-4AA7-ABF4-028747A5F200}"/>
    <cellStyle name="60% - Accent1 3 11" xfId="2763" xr:uid="{72A28C7F-6BC9-40C7-8EFB-394233EE1003}"/>
    <cellStyle name="60% - Accent1 3 12" xfId="2764" xr:uid="{40791547-1F5A-4F11-BDF4-CCA197F5E13E}"/>
    <cellStyle name="60% - Accent1 3 2" xfId="779" xr:uid="{10038658-F208-47BB-A696-F827AF69F853}"/>
    <cellStyle name="60% - Accent1 3 3" xfId="780" xr:uid="{C40E3B22-E13E-4DFF-9AB8-B21C1D631FC6}"/>
    <cellStyle name="60% - Accent1 3 4" xfId="781" xr:uid="{7968B06B-26E0-4C65-B1C0-8A47FD9573AA}"/>
    <cellStyle name="60% - Accent1 3 5" xfId="782" xr:uid="{919C2F6E-52E4-4E4F-B2DD-16CD50E31CC5}"/>
    <cellStyle name="60% - Accent1 3 6" xfId="783" xr:uid="{40FBBCDB-A839-40DA-8250-C4C11EE47249}"/>
    <cellStyle name="60% - Accent1 3 7" xfId="784" xr:uid="{87DB6694-E846-41D1-914B-4005715B00E3}"/>
    <cellStyle name="60% - Accent1 3 8" xfId="2765" xr:uid="{5FB2747E-BB9B-4AF3-AE3C-D68448AD1DA2}"/>
    <cellStyle name="60% - Accent1 3 9" xfId="2766" xr:uid="{F4A5051C-065E-492D-B08B-3E6F883EEC80}"/>
    <cellStyle name="60% - Accent1 3_Trimestral" xfId="2761" xr:uid="{A32BE883-FB2E-472D-A6D4-A69923CBA866}"/>
    <cellStyle name="60% - Accent1 4" xfId="785" xr:uid="{B15ABFEC-F26B-4053-8B20-D2581D29E0C6}"/>
    <cellStyle name="60% - Accent1 4 10" xfId="2768" xr:uid="{34956A5C-AB4A-461C-9545-E8D2E877D858}"/>
    <cellStyle name="60% - Accent1 4 11" xfId="2769" xr:uid="{6402CC0F-0D82-41BC-B975-DC486B71B8B4}"/>
    <cellStyle name="60% - Accent1 4 12" xfId="2770" xr:uid="{56AC418C-28F9-4045-A37D-31FF9D25A1B8}"/>
    <cellStyle name="60% - Accent1 4 2" xfId="786" xr:uid="{800B09B4-6D36-4238-8E88-416B7D2B64B5}"/>
    <cellStyle name="60% - Accent1 4 3" xfId="787" xr:uid="{EC4A3272-DDA1-41B7-A51D-51149E4981E8}"/>
    <cellStyle name="60% - Accent1 4 4" xfId="788" xr:uid="{2B5B4B37-0F80-4F9A-9AB2-1C12390FCD80}"/>
    <cellStyle name="60% - Accent1 4 5" xfId="789" xr:uid="{FEE5FE9A-A039-4003-9DA2-AF3D6DD3E094}"/>
    <cellStyle name="60% - Accent1 4 6" xfId="790" xr:uid="{43A62480-0610-40A7-A7D0-442A4A7EE440}"/>
    <cellStyle name="60% - Accent1 4 7" xfId="791" xr:uid="{C3F719F7-DD66-4260-AE03-E8F4E31B9240}"/>
    <cellStyle name="60% - Accent1 4 8" xfId="2771" xr:uid="{94B52D60-FB56-4E19-B52F-DCC8419F6169}"/>
    <cellStyle name="60% - Accent1 4 9" xfId="2772" xr:uid="{D426E60D-E68F-4A81-9EC3-944AFA29A571}"/>
    <cellStyle name="60% - Accent1 4_Trimestral" xfId="2767" xr:uid="{DB3F7AAC-4C6B-4FF1-A3C7-15F616A998F6}"/>
    <cellStyle name="60% - Accent1 5" xfId="792" xr:uid="{3F1B692F-9B0A-4D27-A1DF-C13F9A33FE57}"/>
    <cellStyle name="60% - Accent1 5 10" xfId="2774" xr:uid="{9FD7DDEC-7423-48BA-87F6-CF1A73C45FB0}"/>
    <cellStyle name="60% - Accent1 5 11" xfId="2775" xr:uid="{3101DE30-BDBE-4FF0-ADDB-18AFCFC0EE7D}"/>
    <cellStyle name="60% - Accent1 5 12" xfId="2776" xr:uid="{F06DD50A-7EDD-45A7-97E3-11316ECD3F1F}"/>
    <cellStyle name="60% - Accent1 5 2" xfId="793" xr:uid="{26422609-F0D6-4F26-970C-46C34BD949AE}"/>
    <cellStyle name="60% - Accent1 5 3" xfId="794" xr:uid="{BCB016D3-0827-4497-802F-90D5B82EFEA2}"/>
    <cellStyle name="60% - Accent1 5 4" xfId="795" xr:uid="{6FEEE060-64FE-4733-B76F-B5AC76643391}"/>
    <cellStyle name="60% - Accent1 5 5" xfId="796" xr:uid="{C9EA02C6-FBC8-4087-BCB7-0D05D60F1E5B}"/>
    <cellStyle name="60% - Accent1 5 6" xfId="797" xr:uid="{36D2CCDC-3B2C-42E6-9470-45C20F2B2DBC}"/>
    <cellStyle name="60% - Accent1 5 7" xfId="798" xr:uid="{72B8D8C8-1809-4349-BEA1-A24B7E5C77E8}"/>
    <cellStyle name="60% - Accent1 5 8" xfId="2777" xr:uid="{EBC9C7A8-F0A1-42CA-84A1-EB1B500A3946}"/>
    <cellStyle name="60% - Accent1 5 9" xfId="2778" xr:uid="{E362D2C3-F863-4223-BFC9-7B83F3D3878C}"/>
    <cellStyle name="60% - Accent1 5_Trimestral" xfId="2773" xr:uid="{6FA4CDBE-8A36-47FA-9FDD-ADC4B67C0E40}"/>
    <cellStyle name="60% - Accent1 6" xfId="799" xr:uid="{77151E24-170A-43C7-BFAC-8ABE5C1484FB}"/>
    <cellStyle name="60% - Accent1 6 10" xfId="2780" xr:uid="{8FD03AAD-FA04-40C5-8A3C-8E8A25274DD6}"/>
    <cellStyle name="60% - Accent1 6 11" xfId="2781" xr:uid="{B85CFC40-68F5-49D6-9C32-47E73F75841C}"/>
    <cellStyle name="60% - Accent1 6 12" xfId="2782" xr:uid="{935F87E0-B3A7-45D6-A7D3-9FA075CD497F}"/>
    <cellStyle name="60% - Accent1 6 2" xfId="800" xr:uid="{AED0146C-BCB8-4BB7-82E1-812D3CD08291}"/>
    <cellStyle name="60% - Accent1 6 3" xfId="801" xr:uid="{82D166B9-F4A1-4F8B-96A5-E4D54D7109CD}"/>
    <cellStyle name="60% - Accent1 6 4" xfId="802" xr:uid="{AFB5EC4E-18BC-4609-B1A4-8418A2200E17}"/>
    <cellStyle name="60% - Accent1 6 5" xfId="803" xr:uid="{FF509F91-DBD5-4BD2-B081-2687BEB96F51}"/>
    <cellStyle name="60% - Accent1 6 6" xfId="804" xr:uid="{6A45D7D8-5671-47F5-AF53-0E3639E4FEEF}"/>
    <cellStyle name="60% - Accent1 6 7" xfId="805" xr:uid="{C5C6AFDD-4005-4EF9-BDA6-47D484B60EE8}"/>
    <cellStyle name="60% - Accent1 6 8" xfId="2783" xr:uid="{7A1515E8-899D-4864-B209-6FBD964ED7A6}"/>
    <cellStyle name="60% - Accent1 6 9" xfId="2784" xr:uid="{E5619D01-C057-4240-8B54-33C8C26C736B}"/>
    <cellStyle name="60% - Accent1 6_Trimestral" xfId="2779" xr:uid="{17A96D8D-1B3D-4FB3-BB0D-06FAF1822DF3}"/>
    <cellStyle name="60% - Accent1 7" xfId="806" xr:uid="{A2644922-96FC-4175-BA4B-2FF1FB6C8943}"/>
    <cellStyle name="60% - Accent1 7 10" xfId="2786" xr:uid="{32C5A307-5CB2-4265-BAA0-05ED1C17DABF}"/>
    <cellStyle name="60% - Accent1 7 11" xfId="2787" xr:uid="{3FAB6526-5BA2-4701-9D47-A243810406DB}"/>
    <cellStyle name="60% - Accent1 7 12" xfId="2788" xr:uid="{A965151D-0151-4266-B639-31CF32EDFBF4}"/>
    <cellStyle name="60% - Accent1 7 2" xfId="807" xr:uid="{2766CCED-AAEA-4841-B063-E7CAB11DDEC6}"/>
    <cellStyle name="60% - Accent1 7 3" xfId="808" xr:uid="{EC7F3264-E5A4-49F2-A6E3-F086D1DA3CCB}"/>
    <cellStyle name="60% - Accent1 7 4" xfId="809" xr:uid="{B2A16681-D0B0-472C-9789-0C410C768BCC}"/>
    <cellStyle name="60% - Accent1 7 5" xfId="810" xr:uid="{3A1E77A8-85E2-4667-A03E-FA8C9617AFC9}"/>
    <cellStyle name="60% - Accent1 7 6" xfId="811" xr:uid="{CA5D0C20-C563-4934-8988-E735692722CE}"/>
    <cellStyle name="60% - Accent1 7 7" xfId="812" xr:uid="{4E077502-1701-4CE7-B978-72BA987949E8}"/>
    <cellStyle name="60% - Accent1 7 8" xfId="2789" xr:uid="{2EE93166-C0CA-483C-B256-0A632B3E3734}"/>
    <cellStyle name="60% - Accent1 7 9" xfId="2790" xr:uid="{18F77B7D-B2D4-4883-BF6C-B66950B269E6}"/>
    <cellStyle name="60% - Accent1 7_Trimestral" xfId="2785" xr:uid="{0AC37CBC-98B6-4C8A-AACF-4A4E7365D5D1}"/>
    <cellStyle name="60% - Accent1 8" xfId="813" xr:uid="{B646C8F0-2881-4EFB-8089-B5993DD3E04B}"/>
    <cellStyle name="60% - Accent1 8 10" xfId="2792" xr:uid="{3C68DD5A-0719-49F9-8579-53BA911FB794}"/>
    <cellStyle name="60% - Accent1 8 11" xfId="2793" xr:uid="{B2C34F5D-7CF1-4410-AD83-508909936D7F}"/>
    <cellStyle name="60% - Accent1 8 12" xfId="2794" xr:uid="{E0C2A3A8-8672-45CD-A54C-BAE3218B8AA0}"/>
    <cellStyle name="60% - Accent1 8 2" xfId="814" xr:uid="{EBBBBFFC-4FAF-4168-99C8-6BC03B4AADF4}"/>
    <cellStyle name="60% - Accent1 8 3" xfId="815" xr:uid="{B65CCBAC-54A2-4207-ADAE-7EAA9BA82A4E}"/>
    <cellStyle name="60% - Accent1 8 4" xfId="816" xr:uid="{6F742711-487E-49F5-B0D4-672B23EED4FE}"/>
    <cellStyle name="60% - Accent1 8 5" xfId="817" xr:uid="{79DB11EA-F8F6-4DCB-BD21-626BC93C34C4}"/>
    <cellStyle name="60% - Accent1 8 6" xfId="818" xr:uid="{0BD42DAE-526C-4045-A131-5BB4A481FE1A}"/>
    <cellStyle name="60% - Accent1 8 7" xfId="819" xr:uid="{2244A919-CD67-401A-B4D2-600576B6DE73}"/>
    <cellStyle name="60% - Accent1 8 8" xfId="2795" xr:uid="{6EF6746B-58C6-40F7-B883-730B164E3845}"/>
    <cellStyle name="60% - Accent1 8 9" xfId="2796" xr:uid="{24CD4C00-6C93-467E-B5EA-A4FEDDBE936E}"/>
    <cellStyle name="60% - Accent1 8_Trimestral" xfId="2791" xr:uid="{1C2799D0-F431-4C25-BDFA-D44DE1F8917F}"/>
    <cellStyle name="60% - Accent1 9" xfId="2797" xr:uid="{1FB60397-8949-4E43-9FFE-6AD8AEBF2FC8}"/>
    <cellStyle name="60% - Accent2" xfId="70" builtinId="36" customBuiltin="1"/>
    <cellStyle name="60% - Accent2 2" xfId="820" xr:uid="{9F9AA071-3444-4A0F-8BF4-147F6DB568C4}"/>
    <cellStyle name="60% - Accent2 2 10" xfId="2799" xr:uid="{E1FEB1CD-4EC8-46DB-87CF-F7B3102E6B34}"/>
    <cellStyle name="60% - Accent2 2 11" xfId="2800" xr:uid="{8E1EC5F2-B255-4C64-8A56-668A34D927BF}"/>
    <cellStyle name="60% - Accent2 2 12" xfId="2801" xr:uid="{61D8B6E7-B0A4-4837-AE69-06F78F512934}"/>
    <cellStyle name="60% - Accent2 2 2" xfId="821" xr:uid="{7F004568-FF82-414D-956B-4C2E3170170A}"/>
    <cellStyle name="60% - Accent2 2 3" xfId="822" xr:uid="{302B9D0D-AFED-46C3-A9AB-88712D3C331B}"/>
    <cellStyle name="60% - Accent2 2 4" xfId="823" xr:uid="{56FFF2F6-B47A-4575-8265-AA0214C63306}"/>
    <cellStyle name="60% - Accent2 2 5" xfId="824" xr:uid="{92BB9A03-095E-4FFD-85F8-307BC40E0374}"/>
    <cellStyle name="60% - Accent2 2 6" xfId="825" xr:uid="{33C884B1-0206-4462-B3D2-59E506EAF72D}"/>
    <cellStyle name="60% - Accent2 2 7" xfId="826" xr:uid="{62B4C32E-C443-40E3-B195-B8EDB18FCACF}"/>
    <cellStyle name="60% - Accent2 2 8" xfId="2802" xr:uid="{CC029830-AC87-4ACD-BEEA-97CACF007627}"/>
    <cellStyle name="60% - Accent2 2 9" xfId="2803" xr:uid="{85B9D2E8-55D8-479C-A782-8EDD455709DD}"/>
    <cellStyle name="60% - Accent2 2_Trimestral" xfId="2798" xr:uid="{A60678FA-3C7D-4B1E-86EC-14DD60D46D72}"/>
    <cellStyle name="60% - Accent2 3" xfId="827" xr:uid="{A6476C22-03A0-4D4C-8A05-29F4655692D0}"/>
    <cellStyle name="60% - Accent2 3 10" xfId="2805" xr:uid="{914D015E-10B3-44C5-9EF5-44AE13FA3C58}"/>
    <cellStyle name="60% - Accent2 3 11" xfId="2806" xr:uid="{63AEE6F4-4CB1-4A75-B232-AC40B2F62082}"/>
    <cellStyle name="60% - Accent2 3 12" xfId="2807" xr:uid="{904ED251-F476-4AB0-93E3-50B00C060286}"/>
    <cellStyle name="60% - Accent2 3 2" xfId="828" xr:uid="{38355366-49CD-491E-8FBE-3AB927EBAFB3}"/>
    <cellStyle name="60% - Accent2 3 3" xfId="829" xr:uid="{B73774A6-F809-4F27-A419-0A3BD86D7933}"/>
    <cellStyle name="60% - Accent2 3 4" xfId="830" xr:uid="{6F351A99-81AE-44DC-A44E-75A93A3A59C6}"/>
    <cellStyle name="60% - Accent2 3 5" xfId="831" xr:uid="{7B0F50A2-4066-4B37-A5EC-FC874063A73B}"/>
    <cellStyle name="60% - Accent2 3 6" xfId="832" xr:uid="{62272611-7189-414A-8FE4-81F9F2BF83AC}"/>
    <cellStyle name="60% - Accent2 3 7" xfId="833" xr:uid="{16080D18-0123-4A31-ACEF-E1616F5C8166}"/>
    <cellStyle name="60% - Accent2 3 8" xfId="2808" xr:uid="{61F63103-F1B5-4C2C-BBC8-B4AC1ABB6C2D}"/>
    <cellStyle name="60% - Accent2 3 9" xfId="2809" xr:uid="{9A708AAA-D0D4-47F4-83AC-D6AA5AC0995F}"/>
    <cellStyle name="60% - Accent2 3_Trimestral" xfId="2804" xr:uid="{548C3252-6335-4181-9723-65FA2AAE4525}"/>
    <cellStyle name="60% - Accent2 4" xfId="834" xr:uid="{880A914B-937A-4F75-A935-9A9576714809}"/>
    <cellStyle name="60% - Accent2 4 10" xfId="2811" xr:uid="{22DB766E-7ED9-47AB-B5DC-3210096C9D0B}"/>
    <cellStyle name="60% - Accent2 4 11" xfId="2812" xr:uid="{75A4BEC1-813D-4101-88FA-16BD0FC3EDAA}"/>
    <cellStyle name="60% - Accent2 4 12" xfId="2813" xr:uid="{8CD32707-9EAE-4EA3-9846-8CD86198B1BF}"/>
    <cellStyle name="60% - Accent2 4 2" xfId="835" xr:uid="{71A5D12E-B19A-4ED5-83FD-D6906D251F9E}"/>
    <cellStyle name="60% - Accent2 4 3" xfId="836" xr:uid="{FDBABBEB-F14A-42BA-860E-C93E9E64999B}"/>
    <cellStyle name="60% - Accent2 4 4" xfId="837" xr:uid="{D3B96EDA-9CE8-4C0D-99DC-61C967A32843}"/>
    <cellStyle name="60% - Accent2 4 5" xfId="838" xr:uid="{AFA6A2EB-CF7E-41CB-86D4-6D46D0729022}"/>
    <cellStyle name="60% - Accent2 4 6" xfId="839" xr:uid="{BCC02EBF-FC97-4FAC-871B-BA75F4FD4525}"/>
    <cellStyle name="60% - Accent2 4 7" xfId="840" xr:uid="{F0F9DF32-B39E-421A-900D-70A093C1CC42}"/>
    <cellStyle name="60% - Accent2 4 8" xfId="2814" xr:uid="{E957B39E-EE82-4AE7-87D6-EA85C82BF504}"/>
    <cellStyle name="60% - Accent2 4 9" xfId="2815" xr:uid="{AAFA862B-F95C-4E6F-A4A8-55905F1AEA86}"/>
    <cellStyle name="60% - Accent2 4_Trimestral" xfId="2810" xr:uid="{E1A8C9B5-53CF-4B09-8FA3-8036463AD8E9}"/>
    <cellStyle name="60% - Accent2 5" xfId="841" xr:uid="{DC7D26BE-A855-4750-A83E-1439D21C23A3}"/>
    <cellStyle name="60% - Accent2 5 10" xfId="2817" xr:uid="{48FB55A0-8B30-460A-9E33-7731D2CA6438}"/>
    <cellStyle name="60% - Accent2 5 11" xfId="2818" xr:uid="{183D1C67-09F8-4518-811C-0D98274AC04F}"/>
    <cellStyle name="60% - Accent2 5 12" xfId="2819" xr:uid="{FD9A237D-7153-4D3B-8438-D59EFFEDD748}"/>
    <cellStyle name="60% - Accent2 5 2" xfId="842" xr:uid="{9B30CA72-F1DB-4E4A-B15D-CD32CA0F2C98}"/>
    <cellStyle name="60% - Accent2 5 3" xfId="843" xr:uid="{B620125A-D700-45EB-9320-4175A34EA147}"/>
    <cellStyle name="60% - Accent2 5 4" xfId="844" xr:uid="{FE2055F2-BE4D-4B78-9AC7-5F0255415906}"/>
    <cellStyle name="60% - Accent2 5 5" xfId="845" xr:uid="{F1E3983B-2D71-4B09-BC0E-5CEFFC48933C}"/>
    <cellStyle name="60% - Accent2 5 6" xfId="846" xr:uid="{D6674801-07EB-4E04-A73B-CA7277645837}"/>
    <cellStyle name="60% - Accent2 5 7" xfId="847" xr:uid="{155DD0D4-E903-49C3-B1BB-E5805CCC3208}"/>
    <cellStyle name="60% - Accent2 5 8" xfId="2820" xr:uid="{487AE4CC-7568-4757-B6A4-0735C08CED56}"/>
    <cellStyle name="60% - Accent2 5 9" xfId="2821" xr:uid="{3EDECDB9-12E3-4ADF-BF4B-216C7D86B110}"/>
    <cellStyle name="60% - Accent2 5_Trimestral" xfId="2816" xr:uid="{4E7517FF-069E-43FA-9386-DEB52236AF65}"/>
    <cellStyle name="60% - Accent2 6" xfId="848" xr:uid="{2DBE8D73-4747-4814-AB22-B74E2891CCC9}"/>
    <cellStyle name="60% - Accent2 6 10" xfId="2823" xr:uid="{48F35C1F-C2F7-442F-9BF5-6A5DB758FEAA}"/>
    <cellStyle name="60% - Accent2 6 11" xfId="2824" xr:uid="{7CFB46E9-AEF7-4B51-8D7A-778111BA73EC}"/>
    <cellStyle name="60% - Accent2 6 12" xfId="2825" xr:uid="{9DB31AEC-97F8-4C27-804D-399A9D0C97CD}"/>
    <cellStyle name="60% - Accent2 6 2" xfId="849" xr:uid="{DB168D66-2F39-4FC9-843A-BA0CB95EF3F8}"/>
    <cellStyle name="60% - Accent2 6 3" xfId="850" xr:uid="{2C7C6823-5975-45B0-8DD4-82B81A344F63}"/>
    <cellStyle name="60% - Accent2 6 4" xfId="851" xr:uid="{3CAE986E-613F-414D-A950-6C74C2B94C2D}"/>
    <cellStyle name="60% - Accent2 6 5" xfId="852" xr:uid="{EC04EA6C-67C3-453D-A7DD-96303D26F516}"/>
    <cellStyle name="60% - Accent2 6 6" xfId="853" xr:uid="{2EFBB439-2863-4F3B-9FA2-BF4DBC556571}"/>
    <cellStyle name="60% - Accent2 6 7" xfId="854" xr:uid="{93BA6C84-EE7D-4A6C-9ACF-E1034D35BC8E}"/>
    <cellStyle name="60% - Accent2 6 8" xfId="2826" xr:uid="{8FDB9412-8876-4077-AF8B-F339EB3E7A25}"/>
    <cellStyle name="60% - Accent2 6 9" xfId="2827" xr:uid="{D04BD19A-0AF8-4155-BD45-7949ED81FFC0}"/>
    <cellStyle name="60% - Accent2 6_Trimestral" xfId="2822" xr:uid="{D7893FC8-4605-4379-8CBD-1E2538FD02E1}"/>
    <cellStyle name="60% - Accent2 7" xfId="855" xr:uid="{C5F35CFD-637C-4431-A414-E4BBBA4848DD}"/>
    <cellStyle name="60% - Accent2 7 10" xfId="2829" xr:uid="{CE68C4D8-CCB3-4991-ABEC-C7DD0729FA3D}"/>
    <cellStyle name="60% - Accent2 7 11" xfId="2830" xr:uid="{A1ECF7BA-B6CA-4917-A6FA-4E95E908EED3}"/>
    <cellStyle name="60% - Accent2 7 12" xfId="2831" xr:uid="{561DAC1F-CFA4-4400-9534-40B68E5E44A6}"/>
    <cellStyle name="60% - Accent2 7 2" xfId="856" xr:uid="{85E9020E-E247-4F92-B604-FD91633C6C5B}"/>
    <cellStyle name="60% - Accent2 7 3" xfId="857" xr:uid="{BC1F961C-908D-4762-BFB0-514FBA518A83}"/>
    <cellStyle name="60% - Accent2 7 4" xfId="858" xr:uid="{81B17FC3-8333-4F64-9F5B-6BF4733F126D}"/>
    <cellStyle name="60% - Accent2 7 5" xfId="859" xr:uid="{0ED22A5C-AF25-4BCA-AE32-C7FBBE6DF9AB}"/>
    <cellStyle name="60% - Accent2 7 6" xfId="860" xr:uid="{86AB3F0D-8BD4-4008-A39A-686F69FA9E6C}"/>
    <cellStyle name="60% - Accent2 7 7" xfId="861" xr:uid="{F104BDDB-49C4-4FE8-877A-17D5F4A1CB9F}"/>
    <cellStyle name="60% - Accent2 7 8" xfId="2832" xr:uid="{13DDD78E-2DBF-486D-8578-AB3904280F86}"/>
    <cellStyle name="60% - Accent2 7 9" xfId="2833" xr:uid="{1CE3705D-C215-4F53-8633-9B3B90724F80}"/>
    <cellStyle name="60% - Accent2 7_Trimestral" xfId="2828" xr:uid="{C9BE5203-A4A8-488A-A6B1-B246516A6173}"/>
    <cellStyle name="60% - Accent2 8" xfId="862" xr:uid="{9E13C110-15A7-438B-8CED-9F236AF01A94}"/>
    <cellStyle name="60% - Accent2 8 10" xfId="2835" xr:uid="{DE3A4456-39A5-4E0F-8EAB-F11A1A213E38}"/>
    <cellStyle name="60% - Accent2 8 11" xfId="2836" xr:uid="{CF510BB6-10F2-42E1-BC3F-0AF1EB78CDEB}"/>
    <cellStyle name="60% - Accent2 8 12" xfId="2837" xr:uid="{8791B1BA-FE7C-4A2D-8F33-FE0D70DABEF2}"/>
    <cellStyle name="60% - Accent2 8 2" xfId="863" xr:uid="{DE6DE5FF-DE68-4EAB-AD67-896833FA5A2F}"/>
    <cellStyle name="60% - Accent2 8 3" xfId="864" xr:uid="{B80EDE1D-0F63-4A1A-8AE0-D367360C76E8}"/>
    <cellStyle name="60% - Accent2 8 4" xfId="865" xr:uid="{7B24011B-66DB-41BB-9227-1712F30C262E}"/>
    <cellStyle name="60% - Accent2 8 5" xfId="866" xr:uid="{41153864-6EAE-42E9-95F9-36892874AE5F}"/>
    <cellStyle name="60% - Accent2 8 6" xfId="867" xr:uid="{E1FFCFE9-FC63-46C6-AC24-CD78423141A7}"/>
    <cellStyle name="60% - Accent2 8 7" xfId="868" xr:uid="{71502C17-AA92-4C7C-AD67-F55BFEE31A66}"/>
    <cellStyle name="60% - Accent2 8 8" xfId="2838" xr:uid="{BC5D1BD0-F1A2-40A2-8D5E-4F4C209A519A}"/>
    <cellStyle name="60% - Accent2 8 9" xfId="2839" xr:uid="{AD97B4A0-6132-48A7-8F36-096E6DF1FA3E}"/>
    <cellStyle name="60% - Accent2 8_Trimestral" xfId="2834" xr:uid="{9F0D9666-152D-4345-93AF-A946FDD1FA84}"/>
    <cellStyle name="60% - Accent2 9" xfId="2840" xr:uid="{04F951FF-5DC2-4448-9AF9-DBEFF8E2FA75}"/>
    <cellStyle name="60% - Accent3" xfId="71" builtinId="40" customBuiltin="1"/>
    <cellStyle name="60% - Accent3 2" xfId="869" xr:uid="{9E164407-A003-4EE9-8FD4-57D662F0B379}"/>
    <cellStyle name="60% - Accent3 2 10" xfId="2842" xr:uid="{D498C70A-6647-4CE7-996C-8F049C4A08E2}"/>
    <cellStyle name="60% - Accent3 2 11" xfId="2843" xr:uid="{03AE05E7-CCCC-4C51-9E25-8CAD0EA9D681}"/>
    <cellStyle name="60% - Accent3 2 12" xfId="2844" xr:uid="{E22D2ED5-39ED-4B3A-B999-53170D2392E3}"/>
    <cellStyle name="60% - Accent3 2 2" xfId="870" xr:uid="{2D19345E-DB90-41E8-A303-A9FF2650C405}"/>
    <cellStyle name="60% - Accent3 2 3" xfId="871" xr:uid="{2BBB27C1-67B2-40D4-8C88-F7AE916A8064}"/>
    <cellStyle name="60% - Accent3 2 4" xfId="872" xr:uid="{0DD792DC-CDF6-4377-86C8-1FEDF0BEAD8F}"/>
    <cellStyle name="60% - Accent3 2 5" xfId="873" xr:uid="{5D4306B5-DE98-4FA8-B196-B82C217B4CD0}"/>
    <cellStyle name="60% - Accent3 2 6" xfId="874" xr:uid="{8D0AEB22-89CF-4469-B716-71A7B6B65823}"/>
    <cellStyle name="60% - Accent3 2 7" xfId="875" xr:uid="{599132B7-1850-4DAB-9B92-A043107513AD}"/>
    <cellStyle name="60% - Accent3 2 8" xfId="2845" xr:uid="{D396ED74-DC4A-4F3B-B79C-8EAD4F1CC90E}"/>
    <cellStyle name="60% - Accent3 2 9" xfId="2846" xr:uid="{287DFA50-4746-4611-8815-4FBCAFF3EDCC}"/>
    <cellStyle name="60% - Accent3 2_Trimestral" xfId="2841" xr:uid="{6CC5556E-D718-4F48-A607-3A20F9754D56}"/>
    <cellStyle name="60% - Accent3 3" xfId="876" xr:uid="{AB90147C-2ECD-494D-93A9-38B7EE6DE89A}"/>
    <cellStyle name="60% - Accent3 3 10" xfId="2848" xr:uid="{F7E35F67-6824-4F79-AECD-721203BDAAD4}"/>
    <cellStyle name="60% - Accent3 3 11" xfId="2849" xr:uid="{CC587A3F-C51B-4ECA-A220-A712C4289709}"/>
    <cellStyle name="60% - Accent3 3 12" xfId="2850" xr:uid="{D788C703-76AD-472F-B950-7A1617720F68}"/>
    <cellStyle name="60% - Accent3 3 2" xfId="877" xr:uid="{A465BD9B-A5F5-4888-A668-8C2E99D1C06A}"/>
    <cellStyle name="60% - Accent3 3 3" xfId="878" xr:uid="{D767CF66-A2ED-4BA1-ADB9-55F1E8407E10}"/>
    <cellStyle name="60% - Accent3 3 4" xfId="879" xr:uid="{74E5897B-1BF2-4570-8FD8-79A7A716158C}"/>
    <cellStyle name="60% - Accent3 3 5" xfId="880" xr:uid="{A4D71BE7-4C0E-439F-B111-C4B28197A07F}"/>
    <cellStyle name="60% - Accent3 3 6" xfId="881" xr:uid="{D8011DBF-8575-4D2E-B8E5-AB889FFC20D9}"/>
    <cellStyle name="60% - Accent3 3 7" xfId="882" xr:uid="{A3817759-00B1-46B9-B769-756FD1E5511C}"/>
    <cellStyle name="60% - Accent3 3 8" xfId="2851" xr:uid="{A99F05A3-4AC3-4CC2-B0DB-75CE0AFBA646}"/>
    <cellStyle name="60% - Accent3 3 9" xfId="2852" xr:uid="{483E1558-EEEB-469A-97B5-9137BEB907CC}"/>
    <cellStyle name="60% - Accent3 3_Trimestral" xfId="2847" xr:uid="{9A897BA8-D955-401C-86A9-5578E3F0BA98}"/>
    <cellStyle name="60% - Accent3 4" xfId="883" xr:uid="{6CFC471D-494C-4513-B0D1-757F5351F9CA}"/>
    <cellStyle name="60% - Accent3 4 10" xfId="2854" xr:uid="{82D52F90-5AE7-4883-A898-D044E6C1D479}"/>
    <cellStyle name="60% - Accent3 4 11" xfId="2855" xr:uid="{52861404-442D-4FA5-AE61-6CB0B198C2BD}"/>
    <cellStyle name="60% - Accent3 4 12" xfId="2856" xr:uid="{997E8ED3-DE1B-4C88-852E-3BE69507DFAB}"/>
    <cellStyle name="60% - Accent3 4 2" xfId="884" xr:uid="{58AB67E1-5A51-4A1C-92F7-9416285FB080}"/>
    <cellStyle name="60% - Accent3 4 3" xfId="885" xr:uid="{AD7646CF-781E-4357-9CCF-1847FD6DCC54}"/>
    <cellStyle name="60% - Accent3 4 4" xfId="886" xr:uid="{DC3487FC-BC27-492F-98DB-C1669018D9AD}"/>
    <cellStyle name="60% - Accent3 4 5" xfId="887" xr:uid="{4C117742-D307-4D4E-AD31-EB60B54442DA}"/>
    <cellStyle name="60% - Accent3 4 6" xfId="888" xr:uid="{FAC9DDDA-9489-42A4-9164-C73833BAA1E5}"/>
    <cellStyle name="60% - Accent3 4 7" xfId="889" xr:uid="{473767F8-5E3E-45B8-8ECA-E78A4E204B7B}"/>
    <cellStyle name="60% - Accent3 4 8" xfId="2857" xr:uid="{E37C8E56-47F3-4065-B2D4-6F12AB46C387}"/>
    <cellStyle name="60% - Accent3 4 9" xfId="2858" xr:uid="{6B30F74F-D52A-41C6-8BB8-7282E2393BDF}"/>
    <cellStyle name="60% - Accent3 4_Trimestral" xfId="2853" xr:uid="{4A97F9DF-16AB-4D0B-BA9C-149D5E4B041D}"/>
    <cellStyle name="60% - Accent3 5" xfId="890" xr:uid="{67983826-C5CF-4C4B-B825-3115B1A253E4}"/>
    <cellStyle name="60% - Accent3 5 10" xfId="2860" xr:uid="{44DE9324-7724-4F55-BB6D-BE48F0A5F28A}"/>
    <cellStyle name="60% - Accent3 5 11" xfId="2861" xr:uid="{CEDBAF01-C0F1-44B0-B0C5-1ED6E88149C3}"/>
    <cellStyle name="60% - Accent3 5 12" xfId="2862" xr:uid="{8E0A9E64-537C-4CE7-AC84-B6EB329295A8}"/>
    <cellStyle name="60% - Accent3 5 2" xfId="891" xr:uid="{2ED3A722-4369-4B13-A67E-4A4C1D93F65C}"/>
    <cellStyle name="60% - Accent3 5 3" xfId="892" xr:uid="{56FB3F15-DE37-4EBA-8DCE-6D9E8A66B3DC}"/>
    <cellStyle name="60% - Accent3 5 4" xfId="893" xr:uid="{A7E32F5F-39B0-46CB-9018-0169CDB3BFD5}"/>
    <cellStyle name="60% - Accent3 5 5" xfId="894" xr:uid="{C156634E-3475-441C-9619-F1DB2EEFBB64}"/>
    <cellStyle name="60% - Accent3 5 6" xfId="895" xr:uid="{D05EA560-2EC1-46F8-85C8-9EC04058FA92}"/>
    <cellStyle name="60% - Accent3 5 7" xfId="896" xr:uid="{6A51ACD4-CDE2-4867-8B23-2DB531F8E3D9}"/>
    <cellStyle name="60% - Accent3 5 8" xfId="2863" xr:uid="{E2898FB6-D5E0-4255-AD15-BC20B13026B2}"/>
    <cellStyle name="60% - Accent3 5 9" xfId="2864" xr:uid="{383F0C42-F514-43E6-97F5-6C7E4687B807}"/>
    <cellStyle name="60% - Accent3 5_Trimestral" xfId="2859" xr:uid="{B74A160F-942C-4951-BB9E-C0E0FA2150B9}"/>
    <cellStyle name="60% - Accent3 6" xfId="897" xr:uid="{0A80E6E8-8E1D-4B49-9C2A-9CFA80F452B0}"/>
    <cellStyle name="60% - Accent3 6 10" xfId="2866" xr:uid="{A1C28674-2D96-4761-805B-60AD6DC0E83D}"/>
    <cellStyle name="60% - Accent3 6 11" xfId="2867" xr:uid="{957CD939-95B0-47D7-99ED-DC923F7E5639}"/>
    <cellStyle name="60% - Accent3 6 12" xfId="2868" xr:uid="{DC3C27FC-C3CF-4CA7-8DE1-23210F0D8A33}"/>
    <cellStyle name="60% - Accent3 6 2" xfId="898" xr:uid="{BC761A40-BA31-4720-8614-6587800CF227}"/>
    <cellStyle name="60% - Accent3 6 3" xfId="899" xr:uid="{57302121-4253-4014-8944-3F386E29BD29}"/>
    <cellStyle name="60% - Accent3 6 4" xfId="900" xr:uid="{77330A73-0DB2-44B8-80BB-98799D18827A}"/>
    <cellStyle name="60% - Accent3 6 5" xfId="901" xr:uid="{458FBDC7-5A25-4AD6-9445-0614C0DC4CA0}"/>
    <cellStyle name="60% - Accent3 6 6" xfId="902" xr:uid="{ED293760-324C-4147-99C6-CC40D883CD06}"/>
    <cellStyle name="60% - Accent3 6 7" xfId="903" xr:uid="{4225CF66-98D3-49D0-9611-3C9781CA05C0}"/>
    <cellStyle name="60% - Accent3 6 8" xfId="2869" xr:uid="{A29E9C4B-6E96-42F2-9D22-3466C9E0D33B}"/>
    <cellStyle name="60% - Accent3 6 9" xfId="2870" xr:uid="{B77EE824-A4BC-4996-88FB-D27AE26602EE}"/>
    <cellStyle name="60% - Accent3 6_Trimestral" xfId="2865" xr:uid="{DDDE5BA5-788E-493E-9B66-E766489DB518}"/>
    <cellStyle name="60% - Accent3 7" xfId="904" xr:uid="{47C27368-A59B-4FBF-8FE6-434C684F3DE8}"/>
    <cellStyle name="60% - Accent3 7 10" xfId="2872" xr:uid="{3DB2B759-1232-42B0-9E44-9A8935EB119E}"/>
    <cellStyle name="60% - Accent3 7 11" xfId="2873" xr:uid="{16EBCC2B-2AF7-4599-98EA-3B3FEEE31EE3}"/>
    <cellStyle name="60% - Accent3 7 12" xfId="2874" xr:uid="{49A06A2E-34DD-4D51-AB63-FB3E406D560D}"/>
    <cellStyle name="60% - Accent3 7 2" xfId="905" xr:uid="{EE9EE38D-314E-4D6B-B6A4-0365B51DCCD0}"/>
    <cellStyle name="60% - Accent3 7 3" xfId="906" xr:uid="{D53E4C63-E8D5-436F-8029-98860581A0C3}"/>
    <cellStyle name="60% - Accent3 7 4" xfId="907" xr:uid="{555D2EB4-7DE7-4108-9450-AEDA86F3F810}"/>
    <cellStyle name="60% - Accent3 7 5" xfId="908" xr:uid="{8D2884CE-CB51-44E1-AE0A-8B1F528B3426}"/>
    <cellStyle name="60% - Accent3 7 6" xfId="909" xr:uid="{A25AEF30-5828-4EC1-ACC3-E1CB253A0B6E}"/>
    <cellStyle name="60% - Accent3 7 7" xfId="910" xr:uid="{FF6A197E-E5A5-40CB-8E5F-552315D42FC0}"/>
    <cellStyle name="60% - Accent3 7 8" xfId="2875" xr:uid="{47371E76-64B5-461D-A6D2-1F135A53BBCA}"/>
    <cellStyle name="60% - Accent3 7 9" xfId="2876" xr:uid="{1C92BE40-D0F1-4122-B86F-05106657662B}"/>
    <cellStyle name="60% - Accent3 7_Trimestral" xfId="2871" xr:uid="{1656CCD8-8CF4-4880-94F7-1C3D2EC28B08}"/>
    <cellStyle name="60% - Accent3 8" xfId="911" xr:uid="{FC53854F-04A6-4376-A76B-5EAB25B02E9C}"/>
    <cellStyle name="60% - Accent3 8 10" xfId="2878" xr:uid="{8CA8B49E-6E37-40D0-92BD-87BE4B95E393}"/>
    <cellStyle name="60% - Accent3 8 11" xfId="2879" xr:uid="{94932EA0-519C-4CF5-8942-DC1CD2A34ADF}"/>
    <cellStyle name="60% - Accent3 8 12" xfId="2880" xr:uid="{3E8C7D43-A39B-4EAC-8EA5-125EB1CA6826}"/>
    <cellStyle name="60% - Accent3 8 2" xfId="912" xr:uid="{22D4FBB3-8BD1-4CD8-8144-01629D9536F9}"/>
    <cellStyle name="60% - Accent3 8 3" xfId="913" xr:uid="{F5853612-88CE-4148-9825-E1EAD9F4A950}"/>
    <cellStyle name="60% - Accent3 8 4" xfId="914" xr:uid="{E8E4C0A1-0313-47F1-AD55-EE869875E911}"/>
    <cellStyle name="60% - Accent3 8 5" xfId="915" xr:uid="{EAFF7B45-D176-4119-843D-F55FD0A8AB25}"/>
    <cellStyle name="60% - Accent3 8 6" xfId="916" xr:uid="{0AEE49CB-8CF1-427C-A6EC-B7980642ADEA}"/>
    <cellStyle name="60% - Accent3 8 7" xfId="917" xr:uid="{1393F704-EAC4-4FA9-95D9-AF4DEE4E25DF}"/>
    <cellStyle name="60% - Accent3 8 8" xfId="2881" xr:uid="{3C1E58AD-9C65-4BE2-8CFD-A4A59BBEFC57}"/>
    <cellStyle name="60% - Accent3 8 9" xfId="2882" xr:uid="{60EF5D8C-FC77-4803-AB1F-03EDF18CD494}"/>
    <cellStyle name="60% - Accent3 8_Trimestral" xfId="2877" xr:uid="{06A17CE0-7E05-4936-B96A-041408B09468}"/>
    <cellStyle name="60% - Accent3 9" xfId="2883" xr:uid="{67DB32BD-7D61-4244-8F5A-FC8D4AB82A46}"/>
    <cellStyle name="60% - Accent4" xfId="72" builtinId="44" customBuiltin="1"/>
    <cellStyle name="60% - Accent4 2" xfId="918" xr:uid="{74EAE77E-85D2-4119-9EEE-A50AE4DA7D42}"/>
    <cellStyle name="60% - Accent4 2 10" xfId="2885" xr:uid="{907DDEDF-AE6E-4AFC-98E8-F97272649ABF}"/>
    <cellStyle name="60% - Accent4 2 11" xfId="2886" xr:uid="{87E7EDB5-56E3-428D-AB10-C7AD08C1654C}"/>
    <cellStyle name="60% - Accent4 2 12" xfId="2887" xr:uid="{1FCBE3D4-9A8A-46E1-8557-F5FE91132E3A}"/>
    <cellStyle name="60% - Accent4 2 2" xfId="919" xr:uid="{53FB4348-BD39-46E5-A325-9DCE8914D865}"/>
    <cellStyle name="60% - Accent4 2 3" xfId="920" xr:uid="{4C01065D-7E3A-483B-B564-EA19464AFE75}"/>
    <cellStyle name="60% - Accent4 2 4" xfId="921" xr:uid="{EAE8E7C7-804F-42BF-8A4E-8B6EE87B8D4F}"/>
    <cellStyle name="60% - Accent4 2 5" xfId="922" xr:uid="{4E72AA91-8CA1-46C8-9B66-E530DF432FDD}"/>
    <cellStyle name="60% - Accent4 2 6" xfId="923" xr:uid="{4D8CB95A-ACDD-4F36-9C92-C80A3A117E73}"/>
    <cellStyle name="60% - Accent4 2 7" xfId="924" xr:uid="{32BF4608-3F0A-434D-9B37-0E506522E7C3}"/>
    <cellStyle name="60% - Accent4 2 8" xfId="2888" xr:uid="{CA5E9A2B-CE52-4714-A7F6-D9EA93F8841F}"/>
    <cellStyle name="60% - Accent4 2 9" xfId="2889" xr:uid="{895D96D8-F10E-4B37-BA6D-840818203DAD}"/>
    <cellStyle name="60% - Accent4 2_Trimestral" xfId="2884" xr:uid="{0DDCD450-65A3-40F8-B91B-224A4CEDD6C4}"/>
    <cellStyle name="60% - Accent4 3" xfId="925" xr:uid="{E0739531-838D-4035-94AB-D5A12B99B080}"/>
    <cellStyle name="60% - Accent4 3 10" xfId="2891" xr:uid="{0B0FC50D-0379-41A1-B7F3-81FE2ACCCB8C}"/>
    <cellStyle name="60% - Accent4 3 11" xfId="2892" xr:uid="{03868110-5F1C-4517-AECC-E49919DB73C2}"/>
    <cellStyle name="60% - Accent4 3 12" xfId="2893" xr:uid="{DA800283-09A1-47F7-8AB2-CDF3F82E98BF}"/>
    <cellStyle name="60% - Accent4 3 2" xfId="926" xr:uid="{403A3B59-B5D3-4973-B597-2DD17043B90F}"/>
    <cellStyle name="60% - Accent4 3 3" xfId="927" xr:uid="{1AF600A6-758B-460D-860B-CB1E6EE83F00}"/>
    <cellStyle name="60% - Accent4 3 4" xfId="928" xr:uid="{9C3E0D70-D11C-4E38-A578-B70CA9E3C41E}"/>
    <cellStyle name="60% - Accent4 3 5" xfId="929" xr:uid="{D2868694-DC83-4800-A77F-9B603F6256BF}"/>
    <cellStyle name="60% - Accent4 3 6" xfId="930" xr:uid="{84700660-428B-4E6E-9E20-465E80B99212}"/>
    <cellStyle name="60% - Accent4 3 7" xfId="931" xr:uid="{EC80642C-F265-498C-B74E-7297259E016F}"/>
    <cellStyle name="60% - Accent4 3 8" xfId="2894" xr:uid="{02747809-52BA-4A8D-A423-92135B4496C5}"/>
    <cellStyle name="60% - Accent4 3 9" xfId="2895" xr:uid="{3403B917-BF0A-4930-898D-8C598FEC885C}"/>
    <cellStyle name="60% - Accent4 3_Trimestral" xfId="2890" xr:uid="{A8D4AE08-D163-4B47-ADC7-FBC9DC03126C}"/>
    <cellStyle name="60% - Accent4 4" xfId="932" xr:uid="{A4F4C29D-CC01-4CE5-BA38-E82FD39E9F98}"/>
    <cellStyle name="60% - Accent4 4 10" xfId="2897" xr:uid="{407753C6-FCBC-43A3-AC21-31B964DDC4FD}"/>
    <cellStyle name="60% - Accent4 4 11" xfId="2898" xr:uid="{E88AA06F-689F-4A94-A0E9-B24487756632}"/>
    <cellStyle name="60% - Accent4 4 12" xfId="2899" xr:uid="{56C4DC34-628B-480A-A9F3-BD93474C23B2}"/>
    <cellStyle name="60% - Accent4 4 2" xfId="933" xr:uid="{A3892C08-03D2-4971-BEE8-30EF25CCB9DB}"/>
    <cellStyle name="60% - Accent4 4 3" xfId="934" xr:uid="{036C66E7-6324-4897-B3C2-C6672CBAAE64}"/>
    <cellStyle name="60% - Accent4 4 4" xfId="935" xr:uid="{D8BD3E6F-96C3-43E6-9062-FC3F8DD11A9E}"/>
    <cellStyle name="60% - Accent4 4 5" xfId="936" xr:uid="{C714AC0F-A876-4B11-B281-E6B4F815397A}"/>
    <cellStyle name="60% - Accent4 4 6" xfId="937" xr:uid="{8F7D8F16-9540-4F68-8979-4C70BBE78592}"/>
    <cellStyle name="60% - Accent4 4 7" xfId="938" xr:uid="{A53E105E-D9EC-4637-9ECA-853168DE6FEF}"/>
    <cellStyle name="60% - Accent4 4 8" xfId="2900" xr:uid="{782FEC95-EF34-4A93-B0D5-D6558E860A14}"/>
    <cellStyle name="60% - Accent4 4 9" xfId="2901" xr:uid="{479DEB83-3E92-4780-8823-DD00D18EF5CA}"/>
    <cellStyle name="60% - Accent4 4_Trimestral" xfId="2896" xr:uid="{D213FCFB-C1AB-4969-A2D8-15A18CBF239C}"/>
    <cellStyle name="60% - Accent4 5" xfId="939" xr:uid="{A3F4A200-CDA1-4344-992C-A088B2448835}"/>
    <cellStyle name="60% - Accent4 5 10" xfId="2903" xr:uid="{BC497D69-D694-4226-8D05-4D150B3E2D1F}"/>
    <cellStyle name="60% - Accent4 5 11" xfId="2904" xr:uid="{4803F6D3-D7C7-42B3-914D-880C39CC3B4D}"/>
    <cellStyle name="60% - Accent4 5 12" xfId="2905" xr:uid="{88DE0844-03B1-4FDF-8C96-B74FD8016B1C}"/>
    <cellStyle name="60% - Accent4 5 2" xfId="940" xr:uid="{CA026D77-6068-4C04-B05A-B28B50C860A4}"/>
    <cellStyle name="60% - Accent4 5 3" xfId="941" xr:uid="{4F710618-23CE-4B02-B481-A70642713A6F}"/>
    <cellStyle name="60% - Accent4 5 4" xfId="942" xr:uid="{003A9CDD-D1BE-40FC-A24A-8627E0028673}"/>
    <cellStyle name="60% - Accent4 5 5" xfId="943" xr:uid="{86EC02A0-A3A4-4601-B4ED-A861F5DBB9EB}"/>
    <cellStyle name="60% - Accent4 5 6" xfId="944" xr:uid="{8F8C4C1B-390B-4B0C-B6DB-A013D610E914}"/>
    <cellStyle name="60% - Accent4 5 7" xfId="945" xr:uid="{3DA439F6-95F9-4664-BCC9-171976288F30}"/>
    <cellStyle name="60% - Accent4 5 8" xfId="2906" xr:uid="{E78B3116-3DC6-4964-BB90-4AFC89D5D6E0}"/>
    <cellStyle name="60% - Accent4 5 9" xfId="2907" xr:uid="{E3E20E5F-1DF5-4644-8701-BBC23FC07FCA}"/>
    <cellStyle name="60% - Accent4 5_Trimestral" xfId="2902" xr:uid="{1FD6DF95-7B32-4857-B279-179FC1C9CDB5}"/>
    <cellStyle name="60% - Accent4 6" xfId="946" xr:uid="{C175ADBC-ACCF-4905-B575-2C7FB1678D6B}"/>
    <cellStyle name="60% - Accent4 6 10" xfId="2909" xr:uid="{FFABC1F4-4C7E-41EA-A6D4-FBE12CBCE099}"/>
    <cellStyle name="60% - Accent4 6 11" xfId="2910" xr:uid="{B10E295A-E882-41D9-B163-5B383B1360F1}"/>
    <cellStyle name="60% - Accent4 6 12" xfId="2911" xr:uid="{870EDE59-DEE0-49B3-BD12-D5BCFD101B29}"/>
    <cellStyle name="60% - Accent4 6 2" xfId="947" xr:uid="{D231AFD5-480D-4DF2-8F22-CC98F55B39A0}"/>
    <cellStyle name="60% - Accent4 6 3" xfId="948" xr:uid="{914FE881-1EF5-4218-A1FD-E4D35D947C91}"/>
    <cellStyle name="60% - Accent4 6 4" xfId="949" xr:uid="{BECD1273-7612-4D0A-A39F-79B8AA7F34A4}"/>
    <cellStyle name="60% - Accent4 6 5" xfId="950" xr:uid="{990EF1BF-B106-42D9-BC62-67783F3E1793}"/>
    <cellStyle name="60% - Accent4 6 6" xfId="951" xr:uid="{7871D6D0-6A3D-43F5-AE72-B22482080E4B}"/>
    <cellStyle name="60% - Accent4 6 7" xfId="952" xr:uid="{BCA71FE1-0833-414F-98F5-FCF4133795AC}"/>
    <cellStyle name="60% - Accent4 6 8" xfId="2912" xr:uid="{C4AA8042-1210-43D5-A64F-1D1207DA8B85}"/>
    <cellStyle name="60% - Accent4 6 9" xfId="2913" xr:uid="{228FF540-D609-48D3-B889-D306595C6B3E}"/>
    <cellStyle name="60% - Accent4 6_Trimestral" xfId="2908" xr:uid="{A7A7D189-7CE7-4712-B70E-BD9B99BC610E}"/>
    <cellStyle name="60% - Accent4 7" xfId="953" xr:uid="{681D7851-FFB0-4989-8C44-E60351B348E4}"/>
    <cellStyle name="60% - Accent4 7 10" xfId="2915" xr:uid="{D1C074E1-4C7A-40AF-A374-7BD5721028DD}"/>
    <cellStyle name="60% - Accent4 7 11" xfId="2916" xr:uid="{B1A53E32-D781-4120-AFAE-9459601F0AAE}"/>
    <cellStyle name="60% - Accent4 7 12" xfId="2917" xr:uid="{C33C756B-BBA0-453D-BFFB-7EE4F9A0A8F0}"/>
    <cellStyle name="60% - Accent4 7 2" xfId="954" xr:uid="{51CCFAB7-C4EB-48B3-A6A6-E037BE14516E}"/>
    <cellStyle name="60% - Accent4 7 3" xfId="955" xr:uid="{89746B99-894E-47A9-910E-60AFD7A1ACE8}"/>
    <cellStyle name="60% - Accent4 7 4" xfId="956" xr:uid="{76FB041C-1511-4DEC-ABEA-BDC390C69427}"/>
    <cellStyle name="60% - Accent4 7 5" xfId="957" xr:uid="{9A2D6718-06CC-4C48-ADCB-FC183FA7E67D}"/>
    <cellStyle name="60% - Accent4 7 6" xfId="958" xr:uid="{92359BE4-5B33-481B-9F4A-851160FC8521}"/>
    <cellStyle name="60% - Accent4 7 7" xfId="959" xr:uid="{19156EF1-A2A7-4D5E-91AD-EE65920888C2}"/>
    <cellStyle name="60% - Accent4 7 8" xfId="2918" xr:uid="{F3E05C75-C7C9-46BD-8694-725D1C8B5B24}"/>
    <cellStyle name="60% - Accent4 7 9" xfId="2919" xr:uid="{F449B4FC-5DC4-42A8-81A0-021ABD5F4A92}"/>
    <cellStyle name="60% - Accent4 7_Trimestral" xfId="2914" xr:uid="{8E835189-29E6-408E-8637-FE035E5DA59D}"/>
    <cellStyle name="60% - Accent4 8" xfId="960" xr:uid="{A8D8FCAD-06AA-4406-98BA-527529503B3A}"/>
    <cellStyle name="60% - Accent4 8 10" xfId="2921" xr:uid="{7F9C5F11-3C6E-45EA-B0B7-453A4762D66A}"/>
    <cellStyle name="60% - Accent4 8 11" xfId="2922" xr:uid="{CC298786-8E64-41C6-8C0A-5477D08D4030}"/>
    <cellStyle name="60% - Accent4 8 12" xfId="2923" xr:uid="{1F3F61EC-58CD-440F-B651-532ACE316A00}"/>
    <cellStyle name="60% - Accent4 8 2" xfId="961" xr:uid="{FE22275B-DAF7-4717-96E7-F0FD9C39306E}"/>
    <cellStyle name="60% - Accent4 8 3" xfId="962" xr:uid="{5FDB0FED-E925-4C7B-A8B8-C42FFEC79731}"/>
    <cellStyle name="60% - Accent4 8 4" xfId="963" xr:uid="{41969427-6E5C-46EE-8E27-7D6C701CCF8E}"/>
    <cellStyle name="60% - Accent4 8 5" xfId="964" xr:uid="{1B03D6DE-6744-4D8C-986E-C02400D83A2E}"/>
    <cellStyle name="60% - Accent4 8 6" xfId="965" xr:uid="{FECBCD61-0B7E-4924-8BFB-23077605C118}"/>
    <cellStyle name="60% - Accent4 8 7" xfId="966" xr:uid="{1884321A-C43E-4E82-9757-F020AC4EBCFE}"/>
    <cellStyle name="60% - Accent4 8 8" xfId="2924" xr:uid="{FD0A4222-2A3A-4C3E-AD11-6227DA30938A}"/>
    <cellStyle name="60% - Accent4 8 9" xfId="2925" xr:uid="{FE4801F8-2EBC-46AC-8A52-08B6507B64FA}"/>
    <cellStyle name="60% - Accent4 8_Trimestral" xfId="2920" xr:uid="{1686665F-2CDB-483D-99CC-8C14183C7A23}"/>
    <cellStyle name="60% - Accent4 9" xfId="2926" xr:uid="{EDAB464B-09DE-441A-ABCF-E6CC0B3268D3}"/>
    <cellStyle name="60% - Accent5" xfId="73" builtinId="48" customBuiltin="1"/>
    <cellStyle name="60% - Accent5 2" xfId="967" xr:uid="{DFCC4B4B-8F0C-4682-9460-E43C76CA3292}"/>
    <cellStyle name="60% - Accent5 2 10" xfId="2928" xr:uid="{D72FE233-321F-4486-9008-1FC3A58A1868}"/>
    <cellStyle name="60% - Accent5 2 11" xfId="2929" xr:uid="{AC10678F-D386-4172-B818-2F827E4FB24F}"/>
    <cellStyle name="60% - Accent5 2 12" xfId="2930" xr:uid="{7318724F-B1F9-466A-960C-899B3A4306FF}"/>
    <cellStyle name="60% - Accent5 2 2" xfId="968" xr:uid="{CE4861D5-5AFA-431D-932B-DABB59421322}"/>
    <cellStyle name="60% - Accent5 2 3" xfId="969" xr:uid="{9D18FB7B-F21A-40D4-9740-A118036258BD}"/>
    <cellStyle name="60% - Accent5 2 4" xfId="970" xr:uid="{416210D7-12A7-420E-84E8-43D51B9DD50C}"/>
    <cellStyle name="60% - Accent5 2 5" xfId="971" xr:uid="{6BC53DE4-0E02-4CC7-9C94-B84CECD4349B}"/>
    <cellStyle name="60% - Accent5 2 6" xfId="972" xr:uid="{A6C0EA3F-473B-4A36-A211-4F77F444CB03}"/>
    <cellStyle name="60% - Accent5 2 7" xfId="973" xr:uid="{E24CEBF9-22AC-41B2-A751-0CBCA5865208}"/>
    <cellStyle name="60% - Accent5 2 8" xfId="2931" xr:uid="{37638A33-61D1-4EDA-B167-7A589A58EC54}"/>
    <cellStyle name="60% - Accent5 2 9" xfId="2932" xr:uid="{3CBD6209-02EC-496F-B8D4-214F60558C31}"/>
    <cellStyle name="60% - Accent5 2_Trimestral" xfId="2927" xr:uid="{265EC87F-2DA8-44CE-98F6-B45E498D5631}"/>
    <cellStyle name="60% - Accent5 3" xfId="974" xr:uid="{67B7526D-CD29-4F4F-A777-BF2AF93D41C0}"/>
    <cellStyle name="60% - Accent5 3 10" xfId="2934" xr:uid="{01FD8CFB-7734-4A76-BBA5-5ADFA163221F}"/>
    <cellStyle name="60% - Accent5 3 11" xfId="2935" xr:uid="{46EFF98A-B1C3-40CF-9A3D-CC2C4105C95A}"/>
    <cellStyle name="60% - Accent5 3 12" xfId="2936" xr:uid="{F00E502F-D145-41A8-AEE3-F2BE13D35E60}"/>
    <cellStyle name="60% - Accent5 3 2" xfId="975" xr:uid="{FB3B4224-1EA3-4000-8C12-E4C3370B38F6}"/>
    <cellStyle name="60% - Accent5 3 3" xfId="976" xr:uid="{6C7C4008-DD68-48F2-9A4B-C2BA5EC7DEE1}"/>
    <cellStyle name="60% - Accent5 3 4" xfId="977" xr:uid="{C3EECEE8-7923-4C57-8070-E92B1ECB6080}"/>
    <cellStyle name="60% - Accent5 3 5" xfId="978" xr:uid="{BC90E4D2-7559-4208-A9B2-947FE9E224F1}"/>
    <cellStyle name="60% - Accent5 3 6" xfId="979" xr:uid="{BD28A26D-8301-4296-A90A-A6DE1118B2F6}"/>
    <cellStyle name="60% - Accent5 3 7" xfId="980" xr:uid="{4270953D-04F7-49B2-A22B-EDC564C16B67}"/>
    <cellStyle name="60% - Accent5 3 8" xfId="2937" xr:uid="{BB69F46F-73C9-4B47-827E-61216403FFDA}"/>
    <cellStyle name="60% - Accent5 3 9" xfId="2938" xr:uid="{C676304E-039A-41DC-9A8F-2F2BD02582EE}"/>
    <cellStyle name="60% - Accent5 3_Trimestral" xfId="2933" xr:uid="{6C7A4585-F3BA-457C-AD08-07F002290DA0}"/>
    <cellStyle name="60% - Accent5 4" xfId="981" xr:uid="{594EF474-E470-4C6B-84DF-FF1A6DD77AF4}"/>
    <cellStyle name="60% - Accent5 4 10" xfId="2940" xr:uid="{A8A1BBF0-4F7A-440F-9CA5-A074B315C9B5}"/>
    <cellStyle name="60% - Accent5 4 11" xfId="2941" xr:uid="{B9F022C7-DF3A-426F-8E80-448DDD44BAB3}"/>
    <cellStyle name="60% - Accent5 4 12" xfId="2942" xr:uid="{BEC80F92-8C0B-44D9-ABA8-34E34FCCFBBE}"/>
    <cellStyle name="60% - Accent5 4 2" xfId="982" xr:uid="{E05218D1-60E0-48E7-8F55-4408634B0893}"/>
    <cellStyle name="60% - Accent5 4 3" xfId="983" xr:uid="{2F206704-8179-4198-B223-6DF8B0DBD228}"/>
    <cellStyle name="60% - Accent5 4 4" xfId="984" xr:uid="{30115E22-54EC-4E7F-8504-1E15520BF55B}"/>
    <cellStyle name="60% - Accent5 4 5" xfId="985" xr:uid="{72324520-1734-47B6-B3C0-E4C5B2E7B34B}"/>
    <cellStyle name="60% - Accent5 4 6" xfId="986" xr:uid="{289A9FD1-E238-437C-94EE-202686DE7DE8}"/>
    <cellStyle name="60% - Accent5 4 7" xfId="987" xr:uid="{B69D2327-85ED-4DBE-9524-74AB9DFB56C7}"/>
    <cellStyle name="60% - Accent5 4 8" xfId="2943" xr:uid="{EFD3A45B-B3AA-4BB6-AF76-B393CD93B519}"/>
    <cellStyle name="60% - Accent5 4 9" xfId="2944" xr:uid="{3544D78C-7E83-464D-9390-D8704CDEB885}"/>
    <cellStyle name="60% - Accent5 4_Trimestral" xfId="2939" xr:uid="{452A4E86-4948-4710-B3A4-1930FC48F2F0}"/>
    <cellStyle name="60% - Accent5 5" xfId="988" xr:uid="{B6124AC3-C645-4795-9397-E9A82FA56AE7}"/>
    <cellStyle name="60% - Accent5 5 10" xfId="2946" xr:uid="{C1011F38-E0BF-4DE6-BF7C-2E4844CC4EAD}"/>
    <cellStyle name="60% - Accent5 5 11" xfId="2947" xr:uid="{8B2A1EC7-EF04-4120-AF18-1861B3E98950}"/>
    <cellStyle name="60% - Accent5 5 12" xfId="2948" xr:uid="{57E4F7B8-F8A7-42C0-A47B-55A14E052A19}"/>
    <cellStyle name="60% - Accent5 5 2" xfId="989" xr:uid="{DE75A1EE-9DA7-4004-80FC-693BAD1B22FE}"/>
    <cellStyle name="60% - Accent5 5 3" xfId="990" xr:uid="{96D61AEE-4F48-4B10-8D34-812CEBFB0CB2}"/>
    <cellStyle name="60% - Accent5 5 4" xfId="991" xr:uid="{3A4A4492-55B8-49F1-9F0D-ECCC3C1C5DAE}"/>
    <cellStyle name="60% - Accent5 5 5" xfId="992" xr:uid="{5FB79C75-E34C-4FF1-8DB9-EC4F9F967D66}"/>
    <cellStyle name="60% - Accent5 5 6" xfId="993" xr:uid="{14FC2E99-7B0C-4F41-9829-C815ADB53552}"/>
    <cellStyle name="60% - Accent5 5 7" xfId="994" xr:uid="{91DE8CD3-A317-4AAE-ABFD-C0845DDA674B}"/>
    <cellStyle name="60% - Accent5 5 8" xfId="2949" xr:uid="{E6E7BE49-5F90-4E7B-B434-FDBD6F7B912D}"/>
    <cellStyle name="60% - Accent5 5 9" xfId="2950" xr:uid="{8E9FAD15-36C4-436C-A306-A0EAC37E418E}"/>
    <cellStyle name="60% - Accent5 5_Trimestral" xfId="2945" xr:uid="{B1E44675-C388-4EAE-9C64-355D3CA4A646}"/>
    <cellStyle name="60% - Accent5 6" xfId="995" xr:uid="{6AAD9BD9-7996-4B6D-86F1-6B480097204A}"/>
    <cellStyle name="60% - Accent5 6 10" xfId="2952" xr:uid="{5610EABC-7BCC-4AF3-AF77-4F953E93E546}"/>
    <cellStyle name="60% - Accent5 6 11" xfId="2953" xr:uid="{E26D7CFA-1DA0-4F03-BD4C-922BA35AF992}"/>
    <cellStyle name="60% - Accent5 6 12" xfId="2954" xr:uid="{2AA8D775-67C9-4895-8FB2-C16EBC1F228C}"/>
    <cellStyle name="60% - Accent5 6 2" xfId="996" xr:uid="{4F438D54-B8B1-41EB-8921-58446609BC3B}"/>
    <cellStyle name="60% - Accent5 6 3" xfId="997" xr:uid="{03178194-5926-4793-9FDA-2F139EFA061F}"/>
    <cellStyle name="60% - Accent5 6 4" xfId="998" xr:uid="{600BF68E-4AA0-4B16-81FF-F1644AB6CA9F}"/>
    <cellStyle name="60% - Accent5 6 5" xfId="999" xr:uid="{14CEDB74-9C66-4CBA-AFBA-00518EA84B6D}"/>
    <cellStyle name="60% - Accent5 6 6" xfId="1000" xr:uid="{CABE8933-CCD3-4FCE-827E-D88C501E0781}"/>
    <cellStyle name="60% - Accent5 6 7" xfId="1001" xr:uid="{70579199-2DE3-4B58-92AE-1A8E0D491A95}"/>
    <cellStyle name="60% - Accent5 6 8" xfId="2955" xr:uid="{02675C38-A1BD-4734-8378-FB7CABE304C5}"/>
    <cellStyle name="60% - Accent5 6 9" xfId="2956" xr:uid="{DAB947A5-78E6-4B93-BF9D-5738D357E38E}"/>
    <cellStyle name="60% - Accent5 6_Trimestral" xfId="2951" xr:uid="{D68C8541-DB96-442A-84AF-2D8B1AD9BC17}"/>
    <cellStyle name="60% - Accent5 7" xfId="1002" xr:uid="{E08B3F66-2B4E-4C18-89D6-9B88CF3396B2}"/>
    <cellStyle name="60% - Accent5 7 10" xfId="2958" xr:uid="{6F82AA2B-F006-4C4A-80D5-E65754ACB655}"/>
    <cellStyle name="60% - Accent5 7 11" xfId="2959" xr:uid="{7FFB08D4-1C44-4469-9F51-920A197FCA91}"/>
    <cellStyle name="60% - Accent5 7 12" xfId="2960" xr:uid="{34517DD3-430B-44D7-B203-04D8E3B16704}"/>
    <cellStyle name="60% - Accent5 7 2" xfId="1003" xr:uid="{3E56CEBF-36BA-4EDF-8CD3-27D4B38D9AA4}"/>
    <cellStyle name="60% - Accent5 7 3" xfId="1004" xr:uid="{A3134804-AEBF-492F-95DA-B158A96A4EA3}"/>
    <cellStyle name="60% - Accent5 7 4" xfId="1005" xr:uid="{A3F23E57-DF5A-4ABA-A408-BC330BBB4AE5}"/>
    <cellStyle name="60% - Accent5 7 5" xfId="1006" xr:uid="{2F3CB44C-6A8F-4651-B132-2B4D9C449323}"/>
    <cellStyle name="60% - Accent5 7 6" xfId="1007" xr:uid="{B8F5667A-4CA4-4814-ABF8-85D7233E9114}"/>
    <cellStyle name="60% - Accent5 7 7" xfId="1008" xr:uid="{FE05C737-2BD1-4313-9E8D-1C232150F7A1}"/>
    <cellStyle name="60% - Accent5 7 8" xfId="2961" xr:uid="{26B6A022-973F-41A7-BC27-4A06778CB084}"/>
    <cellStyle name="60% - Accent5 7 9" xfId="2962" xr:uid="{1381D4A0-49AC-4624-83D0-EFC080A6C7D2}"/>
    <cellStyle name="60% - Accent5 7_Trimestral" xfId="2957" xr:uid="{435F5C27-BDBD-4AD8-BFC3-0195F0C89BAE}"/>
    <cellStyle name="60% - Accent5 8" xfId="1009" xr:uid="{7982CC2A-5610-4753-8E9D-84899BF60922}"/>
    <cellStyle name="60% - Accent5 8 10" xfId="2964" xr:uid="{37850854-6BA5-41E4-8F8C-4B85DE947E03}"/>
    <cellStyle name="60% - Accent5 8 11" xfId="2965" xr:uid="{CA028D89-C97A-4C0F-B088-31500D66D8FF}"/>
    <cellStyle name="60% - Accent5 8 12" xfId="2966" xr:uid="{4C7F08F8-46E6-498A-94DE-18FFD231F607}"/>
    <cellStyle name="60% - Accent5 8 2" xfId="1010" xr:uid="{FD189AD1-2B53-4EE2-AE3F-C538BACC0FA4}"/>
    <cellStyle name="60% - Accent5 8 3" xfId="1011" xr:uid="{715ECFA9-8EC1-45E6-81D1-7EE493AED437}"/>
    <cellStyle name="60% - Accent5 8 4" xfId="1012" xr:uid="{DA59C1B8-ABFD-4747-9D70-D77B1A14D480}"/>
    <cellStyle name="60% - Accent5 8 5" xfId="1013" xr:uid="{8B7C9F53-B118-44C9-8DA8-68C327D29738}"/>
    <cellStyle name="60% - Accent5 8 6" xfId="1014" xr:uid="{98E06294-51B6-4A51-AF1C-3520AE4CD0F3}"/>
    <cellStyle name="60% - Accent5 8 7" xfId="1015" xr:uid="{49BBD0A4-F757-46FA-930A-FC161A531B0C}"/>
    <cellStyle name="60% - Accent5 8 8" xfId="2967" xr:uid="{FD029E85-9972-4EA7-AD0C-801DE5DA6574}"/>
    <cellStyle name="60% - Accent5 8 9" xfId="2968" xr:uid="{9BC2D463-1395-4AF5-BEC5-AA7ADF888477}"/>
    <cellStyle name="60% - Accent5 8_Trimestral" xfId="2963" xr:uid="{965AA1E0-B827-4323-8CFD-72A439594E4E}"/>
    <cellStyle name="60% - Accent5 9" xfId="2969" xr:uid="{DAAEAC8C-3B70-40FE-AE0A-E7899C3F0B6F}"/>
    <cellStyle name="60% - Accent6" xfId="74" builtinId="52" customBuiltin="1"/>
    <cellStyle name="60% - Accent6 2" xfId="1016" xr:uid="{9047046F-35C1-4BDA-8055-FB6C24AFF017}"/>
    <cellStyle name="60% - Accent6 2 10" xfId="2971" xr:uid="{4174841B-83FD-4143-9217-A5E1C8D61DC3}"/>
    <cellStyle name="60% - Accent6 2 11" xfId="2972" xr:uid="{3C8DE523-95D3-4D23-B354-4592AE55C3EF}"/>
    <cellStyle name="60% - Accent6 2 12" xfId="2973" xr:uid="{A97C6B40-1281-4F70-A877-6F5F3B6C2E96}"/>
    <cellStyle name="60% - Accent6 2 2" xfId="1017" xr:uid="{F130C7AA-E450-4C5E-813C-6C8BB2F46B28}"/>
    <cellStyle name="60% - Accent6 2 3" xfId="1018" xr:uid="{8AECC8FB-A8DF-47A5-956C-78005A0F107D}"/>
    <cellStyle name="60% - Accent6 2 4" xfId="1019" xr:uid="{9E987211-10AC-4AC6-8F61-E79C83BD4955}"/>
    <cellStyle name="60% - Accent6 2 5" xfId="1020" xr:uid="{7E990FC2-5B6F-4F8F-A87F-C8214CC0263E}"/>
    <cellStyle name="60% - Accent6 2 6" xfId="1021" xr:uid="{4C00ABFA-0CDE-438C-8B90-6781B25E9278}"/>
    <cellStyle name="60% - Accent6 2 7" xfId="1022" xr:uid="{A0137A6E-2467-46FF-9D7E-5B5E215120E8}"/>
    <cellStyle name="60% - Accent6 2 8" xfId="2974" xr:uid="{8D64CD3F-7246-43BE-B7CB-015EC7DA2EE1}"/>
    <cellStyle name="60% - Accent6 2 9" xfId="2975" xr:uid="{062F34AD-E8E2-4C4E-A984-3190A2DC411C}"/>
    <cellStyle name="60% - Accent6 2_Trimestral" xfId="2970" xr:uid="{25B66F0C-CBA7-4DE9-8109-D6528F30F0A7}"/>
    <cellStyle name="60% - Accent6 3" xfId="1023" xr:uid="{907D9D4C-B860-40DA-8208-C3B51155D5BA}"/>
    <cellStyle name="60% - Accent6 3 10" xfId="2977" xr:uid="{13E7BAFC-9BBC-4A09-BCC9-309959985CDD}"/>
    <cellStyle name="60% - Accent6 3 11" xfId="2978" xr:uid="{D01947B0-A82E-4BB4-A4E2-5BB7D4362041}"/>
    <cellStyle name="60% - Accent6 3 12" xfId="2979" xr:uid="{A7832DB7-D995-495B-8A7C-B910987CAA89}"/>
    <cellStyle name="60% - Accent6 3 2" xfId="1024" xr:uid="{CA85B0C3-5CBC-421A-8D5C-88035481D395}"/>
    <cellStyle name="60% - Accent6 3 3" xfId="1025" xr:uid="{3EA54EC1-7C4A-4F3E-A8E8-C60C5315133D}"/>
    <cellStyle name="60% - Accent6 3 4" xfId="1026" xr:uid="{830C800A-40F8-4D25-A6E4-EE5EDB260E4E}"/>
    <cellStyle name="60% - Accent6 3 5" xfId="1027" xr:uid="{DE2CB83E-3DFE-4AD1-B748-11A3A1E5D9BC}"/>
    <cellStyle name="60% - Accent6 3 6" xfId="1028" xr:uid="{D9056673-B041-45B3-9560-CEDE2D41B5AE}"/>
    <cellStyle name="60% - Accent6 3 7" xfId="1029" xr:uid="{85D7C7C1-3B11-4B1A-9508-5487B8663005}"/>
    <cellStyle name="60% - Accent6 3 8" xfId="2980" xr:uid="{96F165F8-8016-4641-92DD-65A9C3E09903}"/>
    <cellStyle name="60% - Accent6 3 9" xfId="2981" xr:uid="{D320E31B-9FEC-47D9-84B8-7BB1F4A49F19}"/>
    <cellStyle name="60% - Accent6 3_Trimestral" xfId="2976" xr:uid="{A128214D-CB4A-49DA-A3CA-CAA6FD1D8DA0}"/>
    <cellStyle name="60% - Accent6 4" xfId="1030" xr:uid="{473B47FA-25F6-439A-91A7-AB714F3CDA58}"/>
    <cellStyle name="60% - Accent6 4 10" xfId="2983" xr:uid="{7A2AF361-0735-4FD0-8158-04BBA31ECA74}"/>
    <cellStyle name="60% - Accent6 4 11" xfId="2984" xr:uid="{35E7F833-CA52-4817-AD5B-B00E2D6EC52B}"/>
    <cellStyle name="60% - Accent6 4 12" xfId="2985" xr:uid="{714EBD54-B93C-4603-B616-7422661B270A}"/>
    <cellStyle name="60% - Accent6 4 2" xfId="1031" xr:uid="{43E83F57-F156-41FE-93FA-B73CF6DFCC39}"/>
    <cellStyle name="60% - Accent6 4 3" xfId="1032" xr:uid="{2A8D1F06-A1C1-4ED0-AF8F-3DC08AC48DE6}"/>
    <cellStyle name="60% - Accent6 4 4" xfId="1033" xr:uid="{1A4F7DC3-C19A-465E-91BB-A770ABEC6446}"/>
    <cellStyle name="60% - Accent6 4 5" xfId="1034" xr:uid="{ED98A644-F48E-47C0-8C69-E60BABDE8F97}"/>
    <cellStyle name="60% - Accent6 4 6" xfId="1035" xr:uid="{67E9B118-580A-4A2B-9459-707E56B1185D}"/>
    <cellStyle name="60% - Accent6 4 7" xfId="1036" xr:uid="{1FC758C5-175E-4E48-943B-40D6476AC61E}"/>
    <cellStyle name="60% - Accent6 4 8" xfId="2986" xr:uid="{8A27E016-C8A2-43BB-9DD0-63BB270637BC}"/>
    <cellStyle name="60% - Accent6 4 9" xfId="2987" xr:uid="{961A9483-E4E0-4F0D-B797-AA884AD0532F}"/>
    <cellStyle name="60% - Accent6 4_Trimestral" xfId="2982" xr:uid="{0BE235C4-C374-436A-839B-5A3C015FF900}"/>
    <cellStyle name="60% - Accent6 5" xfId="1037" xr:uid="{44FCECE5-5928-4B08-B172-690390C22FDA}"/>
    <cellStyle name="60% - Accent6 5 10" xfId="2989" xr:uid="{9FA7B871-A38E-4A37-9A3D-4EC30F5F23DA}"/>
    <cellStyle name="60% - Accent6 5 11" xfId="2990" xr:uid="{D803117F-0E38-465C-9B04-C828A4AFBABD}"/>
    <cellStyle name="60% - Accent6 5 12" xfId="2991" xr:uid="{4D29B46B-EE32-4AFA-921B-6264D28182F5}"/>
    <cellStyle name="60% - Accent6 5 2" xfId="1038" xr:uid="{AFBBFE98-A8A7-49DD-B380-05BE8BA3D7A5}"/>
    <cellStyle name="60% - Accent6 5 3" xfId="1039" xr:uid="{16D27463-8CEB-4385-830E-66B66B09FD10}"/>
    <cellStyle name="60% - Accent6 5 4" xfId="1040" xr:uid="{36E534DD-04C3-413D-AB3E-0C6E4F179E32}"/>
    <cellStyle name="60% - Accent6 5 5" xfId="1041" xr:uid="{01317468-3267-4D05-9232-5BD58F9F6A28}"/>
    <cellStyle name="60% - Accent6 5 6" xfId="1042" xr:uid="{9C136612-E7C2-463A-BD97-AAD26D436DE9}"/>
    <cellStyle name="60% - Accent6 5 7" xfId="1043" xr:uid="{A1A4D9E0-E260-48F4-BCAD-47EF839CB3A8}"/>
    <cellStyle name="60% - Accent6 5 8" xfId="2992" xr:uid="{8EE4FA20-BD0E-4CE9-988A-50D53FCEDD49}"/>
    <cellStyle name="60% - Accent6 5 9" xfId="2993" xr:uid="{50C0B687-5DAB-4988-84E8-A247B623CC12}"/>
    <cellStyle name="60% - Accent6 5_Trimestral" xfId="2988" xr:uid="{D124B861-01F7-4B5D-BB1A-69E6B99D163C}"/>
    <cellStyle name="60% - Accent6 6" xfId="1044" xr:uid="{9D3D2ED3-6A28-422F-A6E5-6951DF2F37A6}"/>
    <cellStyle name="60% - Accent6 6 10" xfId="2995" xr:uid="{68ADAE07-635B-49ED-B3B8-874E2AEAC109}"/>
    <cellStyle name="60% - Accent6 6 11" xfId="2996" xr:uid="{59B16AD6-CE32-47D5-A5FA-D37DAEA30443}"/>
    <cellStyle name="60% - Accent6 6 12" xfId="2997" xr:uid="{2FC4ABF1-8C86-42DA-9871-D382E1162DEC}"/>
    <cellStyle name="60% - Accent6 6 2" xfId="1045" xr:uid="{63110144-2124-4B36-82FA-70AABEAB016A}"/>
    <cellStyle name="60% - Accent6 6 3" xfId="1046" xr:uid="{282199BE-5ADF-445C-8304-741F3512B7D2}"/>
    <cellStyle name="60% - Accent6 6 4" xfId="1047" xr:uid="{EB4E8BBA-1A61-4E8F-B935-13D741D3AEA2}"/>
    <cellStyle name="60% - Accent6 6 5" xfId="1048" xr:uid="{1936CC21-BCE1-491B-8BE7-DA19A8D671FB}"/>
    <cellStyle name="60% - Accent6 6 6" xfId="1049" xr:uid="{DE2E72BF-06C7-47B7-B6D8-CA98550008BC}"/>
    <cellStyle name="60% - Accent6 6 7" xfId="1050" xr:uid="{F7EC97F9-75E4-4BBD-BDCA-50AA5866571E}"/>
    <cellStyle name="60% - Accent6 6 8" xfId="2998" xr:uid="{5502E28A-1BF8-4834-ABC2-B6B4F63ED550}"/>
    <cellStyle name="60% - Accent6 6 9" xfId="2999" xr:uid="{0957E973-3024-4A59-B2B1-8580AF13C171}"/>
    <cellStyle name="60% - Accent6 6_Trimestral" xfId="2994" xr:uid="{FC282D1D-69E9-4BB6-A556-763771EDF264}"/>
    <cellStyle name="60% - Accent6 7" xfId="1051" xr:uid="{C0638182-B3D9-48CC-BB79-8EF2575948C6}"/>
    <cellStyle name="60% - Accent6 7 10" xfId="3001" xr:uid="{82AB90E4-29E3-4F4F-B4D1-6046CE17FEA2}"/>
    <cellStyle name="60% - Accent6 7 11" xfId="3002" xr:uid="{0F436137-1A35-40EF-96EF-47CA05D090F4}"/>
    <cellStyle name="60% - Accent6 7 12" xfId="3003" xr:uid="{290C7D1B-86D0-4429-B60F-958F755EE676}"/>
    <cellStyle name="60% - Accent6 7 2" xfId="1052" xr:uid="{D6FD7959-3E9D-4D54-BDD7-BF4810F124FE}"/>
    <cellStyle name="60% - Accent6 7 3" xfId="1053" xr:uid="{EBC51FF1-3D91-448E-BE06-C1C335769858}"/>
    <cellStyle name="60% - Accent6 7 4" xfId="1054" xr:uid="{405EDC42-6352-405F-85BA-CD0F1946746E}"/>
    <cellStyle name="60% - Accent6 7 5" xfId="1055" xr:uid="{DCF2B1A4-8D7D-46D9-B4C0-8E334502F009}"/>
    <cellStyle name="60% - Accent6 7 6" xfId="1056" xr:uid="{330A766F-B3B2-4AEA-8390-95F46A4C33FD}"/>
    <cellStyle name="60% - Accent6 7 7" xfId="1057" xr:uid="{6684FB85-1436-4931-854B-186AF6A176DF}"/>
    <cellStyle name="60% - Accent6 7 8" xfId="3004" xr:uid="{08692528-2142-4E23-86EF-1ABA3D0401F8}"/>
    <cellStyle name="60% - Accent6 7 9" xfId="3005" xr:uid="{FDD43E13-5756-4582-AE5A-3DD5859C8121}"/>
    <cellStyle name="60% - Accent6 7_Trimestral" xfId="3000" xr:uid="{ACD0EAA7-7D98-4152-9770-C523075D0A44}"/>
    <cellStyle name="60% - Accent6 8" xfId="1058" xr:uid="{5E9CA4A7-40B7-4F2B-A0D3-ACA1BD42EC35}"/>
    <cellStyle name="60% - Accent6 8 10" xfId="3007" xr:uid="{5D99EACF-66A1-43BA-831C-0D34D5F0F574}"/>
    <cellStyle name="60% - Accent6 8 11" xfId="3008" xr:uid="{34873B9C-E9CC-4B27-B95F-A2E7098DE268}"/>
    <cellStyle name="60% - Accent6 8 12" xfId="3009" xr:uid="{7946B78F-2301-49D4-8584-6750F5EA3C39}"/>
    <cellStyle name="60% - Accent6 8 2" xfId="1059" xr:uid="{407DF05E-3A4D-4782-96C2-97E0B21E6904}"/>
    <cellStyle name="60% - Accent6 8 3" xfId="1060" xr:uid="{6F9639FC-5D42-4BF6-9BE1-56293E76087D}"/>
    <cellStyle name="60% - Accent6 8 4" xfId="1061" xr:uid="{A74A001D-FBD9-41A4-898A-EF0C7E92A176}"/>
    <cellStyle name="60% - Accent6 8 5" xfId="1062" xr:uid="{04D0397E-FAB2-4188-8FAE-FD6AF4AACC71}"/>
    <cellStyle name="60% - Accent6 8 6" xfId="1063" xr:uid="{16406214-218B-4676-BE01-EA06A323BD31}"/>
    <cellStyle name="60% - Accent6 8 7" xfId="1064" xr:uid="{0022B52A-23DD-412F-9034-50F19D22CD3B}"/>
    <cellStyle name="60% - Accent6 8 8" xfId="3010" xr:uid="{1220E5D5-8F40-4D8C-8D1D-E890C48194E1}"/>
    <cellStyle name="60% - Accent6 8 9" xfId="3011" xr:uid="{51A07197-3F4A-40E5-BD67-8CD6020FB603}"/>
    <cellStyle name="60% - Accent6 8_Trimestral" xfId="3006" xr:uid="{1B4FBE39-46BE-4C76-BC57-9759CE0702EC}"/>
    <cellStyle name="60% - Accent6 9" xfId="3012" xr:uid="{5251F4D2-9C4E-4E83-8377-18E85096C0A6}"/>
    <cellStyle name="Accent1" xfId="86" builtinId="29" customBuiltin="1"/>
    <cellStyle name="Accent1 2" xfId="1065" xr:uid="{B8464C7C-DCCE-47FD-90E4-AEC9F04494FB}"/>
    <cellStyle name="Accent1 2 10" xfId="3014" xr:uid="{6F7F5A4C-4DA6-4B18-8E79-0BB687C00014}"/>
    <cellStyle name="Accent1 2 11" xfId="3015" xr:uid="{937DF599-043B-4D27-B737-8C68E367C507}"/>
    <cellStyle name="Accent1 2 12" xfId="3016" xr:uid="{FB6A6875-BB59-4724-91D2-61FF5CA7369A}"/>
    <cellStyle name="Accent1 2 2" xfId="1066" xr:uid="{980F4EAC-AB38-4121-91EB-A88826017247}"/>
    <cellStyle name="Accent1 2 3" xfId="1067" xr:uid="{16BDC350-5584-43DB-88B5-F96D2306986B}"/>
    <cellStyle name="Accent1 2 4" xfId="1068" xr:uid="{6D720A6F-EBA9-42D0-A1C6-75FF86BB4134}"/>
    <cellStyle name="Accent1 2 5" xfId="1069" xr:uid="{28DD6E26-BA11-4D21-B1C9-7C796E98B030}"/>
    <cellStyle name="Accent1 2 6" xfId="1070" xr:uid="{D3EFAA14-0CAD-4E74-A29D-A5EA9DA62406}"/>
    <cellStyle name="Accent1 2 7" xfId="1071" xr:uid="{BEAFFEC8-C49D-4480-B6E2-3AEEDED6A965}"/>
    <cellStyle name="Accent1 2 8" xfId="3017" xr:uid="{28B2880A-7907-48F7-8872-29583078F945}"/>
    <cellStyle name="Accent1 2 9" xfId="3018" xr:uid="{BCD4DA29-3543-46D9-BC69-46E75F98BDD1}"/>
    <cellStyle name="Accent1 2_Trimestral" xfId="3013" xr:uid="{242B27E5-59CE-41D3-AE02-5CC0BDC91F37}"/>
    <cellStyle name="Accent1 3" xfId="1072" xr:uid="{F0D1F910-570C-454F-B21D-D8BE6C9A2F3B}"/>
    <cellStyle name="Accent1 3 10" xfId="3020" xr:uid="{F21FB28A-0049-4459-B682-6BF4C1EEFD1F}"/>
    <cellStyle name="Accent1 3 11" xfId="3021" xr:uid="{D0C78447-34DE-4E7A-B508-3231F6A77B86}"/>
    <cellStyle name="Accent1 3 12" xfId="3022" xr:uid="{1FBFEFDA-9524-4A8D-AB62-B91705894892}"/>
    <cellStyle name="Accent1 3 2" xfId="1073" xr:uid="{D75CE83B-639E-4F77-8D56-E545F9AB157B}"/>
    <cellStyle name="Accent1 3 3" xfId="1074" xr:uid="{3B2D04BD-9042-4669-9654-426D5F614176}"/>
    <cellStyle name="Accent1 3 4" xfId="1075" xr:uid="{CFF360D9-3AEF-4728-B50E-D088AE6D20FB}"/>
    <cellStyle name="Accent1 3 5" xfId="1076" xr:uid="{CF60E870-B62B-4B23-B65C-C54925E1FBE9}"/>
    <cellStyle name="Accent1 3 6" xfId="1077" xr:uid="{96FF1A6F-3E64-4652-9C43-3BFEE60A5B13}"/>
    <cellStyle name="Accent1 3 7" xfId="1078" xr:uid="{49273858-0CF1-4A17-B31D-2C8DA39DFA70}"/>
    <cellStyle name="Accent1 3 8" xfId="3023" xr:uid="{284CA33B-0546-4447-99B1-F6D476A72DDA}"/>
    <cellStyle name="Accent1 3 9" xfId="3024" xr:uid="{81B606EB-CC94-479C-9333-E2977FFB21D5}"/>
    <cellStyle name="Accent1 3_Trimestral" xfId="3019" xr:uid="{9E1D5F09-9985-46A1-8DEE-21219C3EEA23}"/>
    <cellStyle name="Accent1 4" xfId="1079" xr:uid="{041A369B-E6A7-481C-9DB5-2550ADE7B7D2}"/>
    <cellStyle name="Accent1 4 10" xfId="3026" xr:uid="{B91BC85A-45C6-4D8E-85A7-7AE5DC45C6D4}"/>
    <cellStyle name="Accent1 4 11" xfId="3027" xr:uid="{F6F4AF34-49A1-4459-BF3C-1C52A19067D9}"/>
    <cellStyle name="Accent1 4 12" xfId="3028" xr:uid="{5C05DD3F-2577-47D6-A334-1A2090F65400}"/>
    <cellStyle name="Accent1 4 2" xfId="1080" xr:uid="{425B4211-2B9E-4C03-8CB3-811496ABAB91}"/>
    <cellStyle name="Accent1 4 3" xfId="1081" xr:uid="{E28DED1B-CE63-4B91-B03C-5BDCCB71DB48}"/>
    <cellStyle name="Accent1 4 4" xfId="1082" xr:uid="{C738811A-2303-4309-96B2-D1A38BD7C4B1}"/>
    <cellStyle name="Accent1 4 5" xfId="1083" xr:uid="{5FEF1087-C43D-4FB3-A44B-5B74C4BD2A8F}"/>
    <cellStyle name="Accent1 4 6" xfId="1084" xr:uid="{9FF2B72E-3BAC-42F4-B9BC-3E04006E46CB}"/>
    <cellStyle name="Accent1 4 7" xfId="1085" xr:uid="{0DC0BCB7-397A-4858-AEF3-8E8AFAFA881F}"/>
    <cellStyle name="Accent1 4 8" xfId="3029" xr:uid="{38964DF2-4AA4-44C1-8A27-CA92BC295182}"/>
    <cellStyle name="Accent1 4 9" xfId="3030" xr:uid="{2972706C-3E17-4692-9CB2-F4C4F74D2FB3}"/>
    <cellStyle name="Accent1 4_Trimestral" xfId="3025" xr:uid="{1484FEBB-F55D-4972-986E-031B7A3E1D60}"/>
    <cellStyle name="Accent1 5" xfId="1086" xr:uid="{798EEE52-FBE1-494C-A47A-1FDF802444EB}"/>
    <cellStyle name="Accent1 5 10" xfId="3032" xr:uid="{4934B04B-3ECB-4D88-922D-1C9BFE6481F8}"/>
    <cellStyle name="Accent1 5 11" xfId="3033" xr:uid="{ED3FE85B-E853-457A-B440-769C03577787}"/>
    <cellStyle name="Accent1 5 12" xfId="3034" xr:uid="{B5D194A6-48DD-4249-82A6-8DC06C0F24C0}"/>
    <cellStyle name="Accent1 5 2" xfId="1087" xr:uid="{66F94D10-B52A-48A3-877E-E269CAB0AC3F}"/>
    <cellStyle name="Accent1 5 3" xfId="1088" xr:uid="{229B725D-9124-47BC-BF99-6DDB734260A2}"/>
    <cellStyle name="Accent1 5 4" xfId="1089" xr:uid="{B5956045-D089-458D-AFF9-F7133C4F91A6}"/>
    <cellStyle name="Accent1 5 5" xfId="1090" xr:uid="{0C6EE2DF-D3F5-4F24-9720-4DD64168A972}"/>
    <cellStyle name="Accent1 5 6" xfId="1091" xr:uid="{1192F183-34F3-4066-9AB1-948A834A1186}"/>
    <cellStyle name="Accent1 5 7" xfId="1092" xr:uid="{3063E60C-3365-4EB5-A338-FEFD3E514A98}"/>
    <cellStyle name="Accent1 5 8" xfId="3035" xr:uid="{B9E6AAE9-7A07-449C-9A9A-BE3C0F540D3B}"/>
    <cellStyle name="Accent1 5 9" xfId="3036" xr:uid="{A289A4A3-99A1-4295-A5EB-FBEC7002B31B}"/>
    <cellStyle name="Accent1 5_Trimestral" xfId="3031" xr:uid="{F8ACE0F9-422F-46DF-8639-AAFEBE7188F2}"/>
    <cellStyle name="Accent1 6" xfId="1093" xr:uid="{EC9351FF-5421-4187-BE18-6391642DE50E}"/>
    <cellStyle name="Accent1 6 10" xfId="3038" xr:uid="{4D6FBC83-3C2C-48CC-87AA-9E963991C3B6}"/>
    <cellStyle name="Accent1 6 11" xfId="3039" xr:uid="{95A1802D-F049-45C0-AF9E-FABB5C34B83D}"/>
    <cellStyle name="Accent1 6 12" xfId="3040" xr:uid="{34C1117E-46AC-425D-970A-C980056789AE}"/>
    <cellStyle name="Accent1 6 2" xfId="1094" xr:uid="{DCEEC2A3-4F63-43E6-AF00-9A278B831B14}"/>
    <cellStyle name="Accent1 6 3" xfId="1095" xr:uid="{A2794EE1-920C-4582-8CC8-6D61F3D11370}"/>
    <cellStyle name="Accent1 6 4" xfId="1096" xr:uid="{EE0970B8-3A54-41D5-833A-E318CD9C7FA0}"/>
    <cellStyle name="Accent1 6 5" xfId="1097" xr:uid="{6281FE4F-C77A-4693-9868-BBD921FD9E1C}"/>
    <cellStyle name="Accent1 6 6" xfId="1098" xr:uid="{DD2932EB-E613-409E-BA72-00C8B8A40D3B}"/>
    <cellStyle name="Accent1 6 7" xfId="1099" xr:uid="{D7F0B801-CDFF-43DF-9EC6-F62663867C0E}"/>
    <cellStyle name="Accent1 6 8" xfId="3041" xr:uid="{6ED854FF-B514-4CC2-85B0-DCA34B53A94D}"/>
    <cellStyle name="Accent1 6 9" xfId="3042" xr:uid="{84AC3B1E-4000-45B4-AE6E-9459CA5D24AE}"/>
    <cellStyle name="Accent1 6_Trimestral" xfId="3037" xr:uid="{36333EAF-00EE-412D-8D74-1E63D52AF94E}"/>
    <cellStyle name="Accent1 7" xfId="1100" xr:uid="{EBA27870-8962-4FD0-9C2E-A9E7C6EF57AA}"/>
    <cellStyle name="Accent1 7 10" xfId="3044" xr:uid="{61115960-4025-4123-BC22-52AA26ABCABC}"/>
    <cellStyle name="Accent1 7 11" xfId="3045" xr:uid="{DE904F1F-9A72-4AE3-8913-2BBAEF0236E4}"/>
    <cellStyle name="Accent1 7 12" xfId="3046" xr:uid="{A64B61C9-CF38-4CBE-BF3E-05FAB0FA1DA4}"/>
    <cellStyle name="Accent1 7 2" xfId="1101" xr:uid="{D45E3C3F-495B-4C1C-B46A-2DF8931691E0}"/>
    <cellStyle name="Accent1 7 3" xfId="1102" xr:uid="{4E19404B-1996-4585-90DE-4F78E0930585}"/>
    <cellStyle name="Accent1 7 4" xfId="1103" xr:uid="{38534F6F-9C06-4E54-AC75-30D90D23A514}"/>
    <cellStyle name="Accent1 7 5" xfId="1104" xr:uid="{E20BB0AB-401F-468A-B41F-31C83BFD75DA}"/>
    <cellStyle name="Accent1 7 6" xfId="1105" xr:uid="{1DA60B5F-436C-4915-AFFE-97BB23DF5024}"/>
    <cellStyle name="Accent1 7 7" xfId="1106" xr:uid="{937CAFC5-CB98-44B3-BF2A-C00A5235E263}"/>
    <cellStyle name="Accent1 7 8" xfId="3047" xr:uid="{486D25D7-F7C2-4B79-9474-D876757625CF}"/>
    <cellStyle name="Accent1 7 9" xfId="3048" xr:uid="{58443C9A-5988-4764-BD14-C5597022748D}"/>
    <cellStyle name="Accent1 7_Trimestral" xfId="3043" xr:uid="{E8ACC1B3-0129-44B7-9F66-22CECB2F7F47}"/>
    <cellStyle name="Accent1 8" xfId="1107" xr:uid="{41CECDC7-28D3-480E-8641-F5345100E324}"/>
    <cellStyle name="Accent1 8 10" xfId="3050" xr:uid="{9B485B61-F2FA-4A72-BAEC-8D482AAF1A45}"/>
    <cellStyle name="Accent1 8 11" xfId="3051" xr:uid="{7E7932E1-A4E8-4BFA-9E13-D45FA103F5B3}"/>
    <cellStyle name="Accent1 8 12" xfId="3052" xr:uid="{DC3C94E1-445E-483E-B612-AEE91AC9F419}"/>
    <cellStyle name="Accent1 8 2" xfId="1108" xr:uid="{69C3C2C2-649F-47CB-916E-AEA8CB291E56}"/>
    <cellStyle name="Accent1 8 3" xfId="1109" xr:uid="{B0FCDA02-5207-4B6F-B86E-7E2464AD7E24}"/>
    <cellStyle name="Accent1 8 4" xfId="1110" xr:uid="{EC8B24D9-1109-4D4B-90F9-FD55E90D5FD4}"/>
    <cellStyle name="Accent1 8 5" xfId="1111" xr:uid="{E35F2649-B211-4907-8BA5-E9D80FCF3AA6}"/>
    <cellStyle name="Accent1 8 6" xfId="1112" xr:uid="{5CD5BA1E-9AE2-487F-B6CD-79844496BFFC}"/>
    <cellStyle name="Accent1 8 7" xfId="1113" xr:uid="{29EA3C86-A76E-4E62-B571-4FC178734FCF}"/>
    <cellStyle name="Accent1 8 8" xfId="3053" xr:uid="{4B5C2763-84DB-4C18-ABDB-DBDBFF71A23B}"/>
    <cellStyle name="Accent1 8 9" xfId="3054" xr:uid="{263D54BD-63C9-453C-86A0-19F3271F1682}"/>
    <cellStyle name="Accent1 8_Trimestral" xfId="3049" xr:uid="{0CFE192F-BBF6-473D-8F72-02667D6D6CA8}"/>
    <cellStyle name="Accent1 9" xfId="3055" xr:uid="{0311CA8B-CACF-4EE3-A92C-898490A255B1}"/>
    <cellStyle name="Accent2" xfId="87" builtinId="33" customBuiltin="1"/>
    <cellStyle name="Accent2 2" xfId="1114" xr:uid="{45BF3CF4-135B-4E93-BB25-E7B7E0B22C85}"/>
    <cellStyle name="Accent2 2 10" xfId="3057" xr:uid="{9DA4CA4F-B94F-478C-9345-BAF3B3B9BD2B}"/>
    <cellStyle name="Accent2 2 11" xfId="3058" xr:uid="{53AFA3F7-6661-4BA1-B2D3-E9810DC4E035}"/>
    <cellStyle name="Accent2 2 12" xfId="3059" xr:uid="{5EC09543-E8F4-4AB2-9A96-4C6E9CDC8B61}"/>
    <cellStyle name="Accent2 2 2" xfId="1115" xr:uid="{04E24779-834B-42C7-B2D8-CAAE373619CB}"/>
    <cellStyle name="Accent2 2 3" xfId="1116" xr:uid="{93BAEBE6-225A-46AD-9B35-64FF52453BDB}"/>
    <cellStyle name="Accent2 2 4" xfId="1117" xr:uid="{CBA9360B-EADB-45EE-A741-0FC69C8E40C6}"/>
    <cellStyle name="Accent2 2 5" xfId="1118" xr:uid="{30C08C97-BB77-45EB-8A5B-1D2C0E58A81A}"/>
    <cellStyle name="Accent2 2 6" xfId="1119" xr:uid="{05AA7CC9-D1BC-4912-8F92-7FD78DD68378}"/>
    <cellStyle name="Accent2 2 7" xfId="1120" xr:uid="{50A50D67-B848-4932-AFD7-C1164B8EA4DC}"/>
    <cellStyle name="Accent2 2 8" xfId="3060" xr:uid="{763977F8-0AB2-4271-9FCF-0F6D7311D52E}"/>
    <cellStyle name="Accent2 2 9" xfId="3061" xr:uid="{4E4BBEA8-06EE-497D-ADC2-979CF619FD09}"/>
    <cellStyle name="Accent2 2_Trimestral" xfId="3056" xr:uid="{7621189C-3749-4D9F-B821-1FBE6AA86CAC}"/>
    <cellStyle name="Accent2 3" xfId="1121" xr:uid="{3D4BF94E-67DF-436E-A0CF-632A2917C0BC}"/>
    <cellStyle name="Accent2 3 10" xfId="3063" xr:uid="{080A275B-566C-422D-8E36-A655D580B279}"/>
    <cellStyle name="Accent2 3 11" xfId="3064" xr:uid="{B8F703A0-CCA7-4312-B177-214B1EAE4130}"/>
    <cellStyle name="Accent2 3 12" xfId="3065" xr:uid="{89D14E7D-8795-4DF7-B6F7-1E7ADFB6DE17}"/>
    <cellStyle name="Accent2 3 2" xfId="1122" xr:uid="{9E96543D-B759-4724-BCEE-6863D39BB1F6}"/>
    <cellStyle name="Accent2 3 3" xfId="1123" xr:uid="{CCAC7012-EA0E-4D5F-9E87-D20708D6CF64}"/>
    <cellStyle name="Accent2 3 4" xfId="1124" xr:uid="{0FCBF88F-1253-499F-8C86-905B1D5CE92C}"/>
    <cellStyle name="Accent2 3 5" xfId="1125" xr:uid="{0E3FAAF8-A35A-42DC-ADAF-E6E855F5886C}"/>
    <cellStyle name="Accent2 3 6" xfId="1126" xr:uid="{F2081B86-68E8-4C13-BD9D-B1F2D2D2427F}"/>
    <cellStyle name="Accent2 3 7" xfId="1127" xr:uid="{CBFE4C03-56F8-47CE-864C-94A83A125F33}"/>
    <cellStyle name="Accent2 3 8" xfId="3066" xr:uid="{FCA47620-37C2-4611-9A2E-2B0C8D9B95C8}"/>
    <cellStyle name="Accent2 3 9" xfId="3067" xr:uid="{B24D6B45-6D90-44A6-A838-02FE86EEE7B8}"/>
    <cellStyle name="Accent2 3_Trimestral" xfId="3062" xr:uid="{D3260BA6-F85E-4D30-A79D-F2D9ED6147D1}"/>
    <cellStyle name="Accent2 4" xfId="1128" xr:uid="{AE3D8C7C-E51B-4070-8DEA-E8D0CF96460D}"/>
    <cellStyle name="Accent2 4 10" xfId="3069" xr:uid="{7CD57B2B-345E-43AF-9432-EEBBC6C3F56E}"/>
    <cellStyle name="Accent2 4 11" xfId="3070" xr:uid="{ECAE37C8-4C84-40E5-AFED-F80124CB5E39}"/>
    <cellStyle name="Accent2 4 12" xfId="3071" xr:uid="{3A82306E-F26E-4590-ABD4-279B8EC159C3}"/>
    <cellStyle name="Accent2 4 2" xfId="1129" xr:uid="{E7FCD5A0-B499-43FA-B543-2A0B710DC62C}"/>
    <cellStyle name="Accent2 4 3" xfId="1130" xr:uid="{31964909-30BE-4A81-B4FD-E027E6D34D2B}"/>
    <cellStyle name="Accent2 4 4" xfId="1131" xr:uid="{398C8FE3-93A3-4C5A-9824-E555E626B103}"/>
    <cellStyle name="Accent2 4 5" xfId="1132" xr:uid="{BFE8BA93-5D00-4AD4-A3EB-202438CE4969}"/>
    <cellStyle name="Accent2 4 6" xfId="1133" xr:uid="{B9DCD74A-FD7C-4D2B-9443-61B5B71165B1}"/>
    <cellStyle name="Accent2 4 7" xfId="1134" xr:uid="{5908EA47-DCD5-4EBD-92D9-D77DBFE0FDA0}"/>
    <cellStyle name="Accent2 4 8" xfId="3072" xr:uid="{EDF6C652-DEC1-4192-A8E9-164D8608320E}"/>
    <cellStyle name="Accent2 4 9" xfId="3073" xr:uid="{7C156FEB-890B-4ED4-B1BB-56DC42929E50}"/>
    <cellStyle name="Accent2 4_Trimestral" xfId="3068" xr:uid="{5051A321-3132-4564-9DC1-2B98F039864A}"/>
    <cellStyle name="Accent2 5" xfId="1135" xr:uid="{028108D3-F03F-48DB-9423-51E937944A5C}"/>
    <cellStyle name="Accent2 5 10" xfId="3075" xr:uid="{09E4F3A0-6EBD-4BB9-AAD3-D572111A9878}"/>
    <cellStyle name="Accent2 5 11" xfId="3076" xr:uid="{9592CC19-CCD8-4EEC-877E-00E1B0CBEF9B}"/>
    <cellStyle name="Accent2 5 12" xfId="3077" xr:uid="{7FE7E7A0-EFF2-4E91-B948-D082F4B0EC89}"/>
    <cellStyle name="Accent2 5 2" xfId="1136" xr:uid="{C6121431-770E-4881-A65D-7009A27AC987}"/>
    <cellStyle name="Accent2 5 3" xfId="1137" xr:uid="{4D40286E-EB52-41D2-975B-719A2CA45FE0}"/>
    <cellStyle name="Accent2 5 4" xfId="1138" xr:uid="{6FC7B001-8656-4726-B36B-5BAB4F0F9945}"/>
    <cellStyle name="Accent2 5 5" xfId="1139" xr:uid="{F00F8979-51FC-4F6C-A1EF-5E4E0738ED6C}"/>
    <cellStyle name="Accent2 5 6" xfId="1140" xr:uid="{5C910135-C193-4FB6-8C21-78826909D65C}"/>
    <cellStyle name="Accent2 5 7" xfId="1141" xr:uid="{FB2DAEA1-EBC7-4F1D-A514-130EC1AE026C}"/>
    <cellStyle name="Accent2 5 8" xfId="3078" xr:uid="{3B04257A-2BB9-4132-BD8F-BAD912CDE33D}"/>
    <cellStyle name="Accent2 5 9" xfId="3079" xr:uid="{C8E825A4-8841-4690-801F-DA7E518C6665}"/>
    <cellStyle name="Accent2 5_Trimestral" xfId="3074" xr:uid="{73C036DA-C1D5-48BF-BBD9-4E643222DBCA}"/>
    <cellStyle name="Accent2 6" xfId="1142" xr:uid="{BC2B8FA1-2099-4538-BE60-729AD95CFB9D}"/>
    <cellStyle name="Accent2 6 10" xfId="3081" xr:uid="{37B25A6C-D4C6-4083-9454-5277CBDFCA1D}"/>
    <cellStyle name="Accent2 6 11" xfId="3082" xr:uid="{66ACC4BA-537F-43DD-AED2-615D6631220A}"/>
    <cellStyle name="Accent2 6 12" xfId="3083" xr:uid="{821D3BAF-1D66-41FD-A9CF-07D22D1084AB}"/>
    <cellStyle name="Accent2 6 2" xfId="1143" xr:uid="{4E454256-68D7-4DA8-B40D-89A8B634A376}"/>
    <cellStyle name="Accent2 6 3" xfId="1144" xr:uid="{1A917CE1-CCC0-4C12-BFE8-2B6B9AEF6AC2}"/>
    <cellStyle name="Accent2 6 4" xfId="1145" xr:uid="{6861D23C-A242-47E9-8BC9-9700B1633524}"/>
    <cellStyle name="Accent2 6 5" xfId="1146" xr:uid="{289A7A1F-24A1-40BD-B1AB-F302E2F3313E}"/>
    <cellStyle name="Accent2 6 6" xfId="1147" xr:uid="{A85962B9-DF46-48ED-8E5E-ABC03251A7EC}"/>
    <cellStyle name="Accent2 6 7" xfId="1148" xr:uid="{8C7855CE-3F72-428E-AC88-E1C54E4891A2}"/>
    <cellStyle name="Accent2 6 8" xfId="3084" xr:uid="{95997BEE-2D28-45BD-AAA3-A6ABC3955956}"/>
    <cellStyle name="Accent2 6 9" xfId="3085" xr:uid="{B3667D97-1E75-41EE-BDEC-200BF233D1F1}"/>
    <cellStyle name="Accent2 6_Trimestral" xfId="3080" xr:uid="{2F1B80E0-1BD4-4E10-8157-1E418F68ECBF}"/>
    <cellStyle name="Accent2 7" xfId="1149" xr:uid="{414E2521-B2D4-4AC1-87A8-10B3B0B2BD8F}"/>
    <cellStyle name="Accent2 7 10" xfId="3087" xr:uid="{A6558438-84D0-4B9A-8BCA-EB8AA1CBDDEE}"/>
    <cellStyle name="Accent2 7 11" xfId="3088" xr:uid="{775742C9-9900-4CBF-9F59-2514A9E379E4}"/>
    <cellStyle name="Accent2 7 12" xfId="3089" xr:uid="{6D9ACDED-1DAD-44F8-817F-93DAD8A9A77D}"/>
    <cellStyle name="Accent2 7 2" xfId="1150" xr:uid="{1853BE0E-EBD4-4A9B-8C45-D30E1AF7D589}"/>
    <cellStyle name="Accent2 7 3" xfId="1151" xr:uid="{CC4F2891-C518-48F4-8C70-4DF7AFC68370}"/>
    <cellStyle name="Accent2 7 4" xfId="1152" xr:uid="{0AAA145B-09D8-4765-9277-AC7ECCFD728A}"/>
    <cellStyle name="Accent2 7 5" xfId="1153" xr:uid="{3853C6A8-481E-43EC-9D5F-6A4853CDAEB1}"/>
    <cellStyle name="Accent2 7 6" xfId="1154" xr:uid="{CC849AB8-520F-4B56-85EC-1A8DB0CA829B}"/>
    <cellStyle name="Accent2 7 7" xfId="1155" xr:uid="{B93162A4-3008-4A5B-B9C4-88CC3E122D27}"/>
    <cellStyle name="Accent2 7 8" xfId="3090" xr:uid="{17C78535-1EF8-477F-913E-75561B2359F4}"/>
    <cellStyle name="Accent2 7 9" xfId="3091" xr:uid="{71DD3F4B-0E93-454B-83A1-8FADB1299D51}"/>
    <cellStyle name="Accent2 7_Trimestral" xfId="3086" xr:uid="{0D9505E5-90B2-4B0E-A54E-DF447647AC37}"/>
    <cellStyle name="Accent2 8" xfId="1156" xr:uid="{A363D96E-4951-4822-A5A0-D8D01E4709A4}"/>
    <cellStyle name="Accent2 8 10" xfId="3093" xr:uid="{91E3DC74-59C5-4009-9D24-BBDAD3C9BD4C}"/>
    <cellStyle name="Accent2 8 11" xfId="3094" xr:uid="{73D63104-46F3-4A45-91AF-9AD13E47ED11}"/>
    <cellStyle name="Accent2 8 12" xfId="3095" xr:uid="{BADF65D9-6095-4FF2-936C-90691B7C9DB9}"/>
    <cellStyle name="Accent2 8 2" xfId="1157" xr:uid="{71D1DB12-2380-4884-9D0D-2895EE0D2B1A}"/>
    <cellStyle name="Accent2 8 3" xfId="1158" xr:uid="{A4C45848-6DEE-47DA-BFAE-3DE83184EE21}"/>
    <cellStyle name="Accent2 8 4" xfId="1159" xr:uid="{AD22BE4C-C2DF-4CE6-A022-26394A197FC2}"/>
    <cellStyle name="Accent2 8 5" xfId="1160" xr:uid="{ACF1B85A-F691-48F5-84DF-BA3A67C214D2}"/>
    <cellStyle name="Accent2 8 6" xfId="1161" xr:uid="{912F8C83-07AD-464D-8368-D253A108D730}"/>
    <cellStyle name="Accent2 8 7" xfId="1162" xr:uid="{EC911884-1392-4C58-B844-AF6D7267FF55}"/>
    <cellStyle name="Accent2 8 8" xfId="3096" xr:uid="{4F81D46E-EFA1-485A-839A-67263551A52C}"/>
    <cellStyle name="Accent2 8 9" xfId="3097" xr:uid="{2E6EB98D-432D-42D9-9285-F562F31FC838}"/>
    <cellStyle name="Accent2 8_Trimestral" xfId="3092" xr:uid="{79A97263-9C0C-4765-A10F-AE20C96AF474}"/>
    <cellStyle name="Accent2 9" xfId="3098" xr:uid="{58B98E18-40F5-4551-8426-55ED2B46CB04}"/>
    <cellStyle name="Accent3" xfId="88" builtinId="37" customBuiltin="1"/>
    <cellStyle name="Accent3 2" xfId="1163" xr:uid="{E51A2FA7-6121-4F59-9BDB-CB3328A81CF1}"/>
    <cellStyle name="Accent3 2 10" xfId="3100" xr:uid="{859C816E-B225-4742-BCFB-AC0EE4C7D282}"/>
    <cellStyle name="Accent3 2 11" xfId="3101" xr:uid="{CE540A48-E5D4-4C8E-95CE-93F4388C1AFE}"/>
    <cellStyle name="Accent3 2 12" xfId="3102" xr:uid="{3ACC6889-9DB4-4B12-BE42-0AA62979CF86}"/>
    <cellStyle name="Accent3 2 2" xfId="1164" xr:uid="{106AB25A-1956-4625-AD66-CDEDC068C6EA}"/>
    <cellStyle name="Accent3 2 3" xfId="1165" xr:uid="{DBD951C5-AB04-4EF3-B52C-8E8B557DF7D7}"/>
    <cellStyle name="Accent3 2 4" xfId="1166" xr:uid="{E5BDF087-33B6-47D7-85B1-27D03A82FFB5}"/>
    <cellStyle name="Accent3 2 5" xfId="1167" xr:uid="{30B59091-AA5D-4D73-AD0C-E4B3A63C0292}"/>
    <cellStyle name="Accent3 2 6" xfId="1168" xr:uid="{904F80D0-2AA4-44FF-AF0E-EFDF101B1AD4}"/>
    <cellStyle name="Accent3 2 7" xfId="1169" xr:uid="{35249F54-CB2A-4865-981D-B21A12722CE3}"/>
    <cellStyle name="Accent3 2 8" xfId="3103" xr:uid="{4D039D88-4CE9-4BAC-A081-B696797980BA}"/>
    <cellStyle name="Accent3 2 9" xfId="3104" xr:uid="{DA55D9D2-75EF-4AA8-9318-7BC1CBBF7C7E}"/>
    <cellStyle name="Accent3 2_Trimestral" xfId="3099" xr:uid="{8FEDEA05-C636-47F3-8922-04D443548057}"/>
    <cellStyle name="Accent3 3" xfId="1170" xr:uid="{0DBFDA78-45D0-4D65-B8B9-00EF818628EA}"/>
    <cellStyle name="Accent3 3 10" xfId="3106" xr:uid="{5EF8FA86-83C0-4C19-88C2-B49C6C07FF4A}"/>
    <cellStyle name="Accent3 3 11" xfId="3107" xr:uid="{942C829E-7403-4445-8F2C-5C4245CC617C}"/>
    <cellStyle name="Accent3 3 12" xfId="3108" xr:uid="{605B2E0E-8332-41EE-B639-B036C417258F}"/>
    <cellStyle name="Accent3 3 2" xfId="1171" xr:uid="{2D315A52-E619-446C-8004-02656F01B8B7}"/>
    <cellStyle name="Accent3 3 3" xfId="1172" xr:uid="{DDE82520-124C-4FF8-818A-F7A809C2971F}"/>
    <cellStyle name="Accent3 3 4" xfId="1173" xr:uid="{6DC6E307-1122-480E-A94A-FD1699D9CC67}"/>
    <cellStyle name="Accent3 3 5" xfId="1174" xr:uid="{CCB2DA65-7023-4B2E-A803-4F5FAFA3442A}"/>
    <cellStyle name="Accent3 3 6" xfId="1175" xr:uid="{FD9248F6-3FA7-4E0B-9B42-AEB76CF918C7}"/>
    <cellStyle name="Accent3 3 7" xfId="1176" xr:uid="{3ABA23E2-C75D-4CD9-A41E-119784629666}"/>
    <cellStyle name="Accent3 3 8" xfId="3109" xr:uid="{E93D2475-956E-4CAB-AEAE-2EA150ECEB60}"/>
    <cellStyle name="Accent3 3 9" xfId="3110" xr:uid="{18A09C19-78F6-4C36-A6CD-CC2C23963725}"/>
    <cellStyle name="Accent3 3_Trimestral" xfId="3105" xr:uid="{E6B930B9-CC62-4BF8-8DB6-E3581A22219B}"/>
    <cellStyle name="Accent3 4" xfId="1177" xr:uid="{909A7EEF-4152-439C-96B5-BB90CB173087}"/>
    <cellStyle name="Accent3 4 10" xfId="3112" xr:uid="{7D0E5CD4-60C2-403E-BCAA-DCEE1B77EFD2}"/>
    <cellStyle name="Accent3 4 11" xfId="3113" xr:uid="{C2127D17-22D2-4387-9B9D-90CD69DA7CA7}"/>
    <cellStyle name="Accent3 4 12" xfId="3114" xr:uid="{2E8E7FE9-9721-4028-B5BB-F954D730D26A}"/>
    <cellStyle name="Accent3 4 2" xfId="1178" xr:uid="{6E748A7B-9562-4030-8A36-0D61977AC471}"/>
    <cellStyle name="Accent3 4 3" xfId="1179" xr:uid="{2D51CC9E-FC5C-44D0-87F8-61B01739A663}"/>
    <cellStyle name="Accent3 4 4" xfId="1180" xr:uid="{16A50066-03EF-4D32-AE7D-0FC5D659C728}"/>
    <cellStyle name="Accent3 4 5" xfId="1181" xr:uid="{00FA63EF-36FD-43FE-9DF6-C851F69200CF}"/>
    <cellStyle name="Accent3 4 6" xfId="1182" xr:uid="{5707524B-6F43-4FC0-934E-86989850D215}"/>
    <cellStyle name="Accent3 4 7" xfId="1183" xr:uid="{CC5B3AE3-542C-461B-937F-A3C664094C93}"/>
    <cellStyle name="Accent3 4 8" xfId="3115" xr:uid="{3A984FD4-72AF-45B2-8BB6-9CE318B339C6}"/>
    <cellStyle name="Accent3 4 9" xfId="3116" xr:uid="{AEF0C53F-6C70-450C-9B58-F283EA0E2014}"/>
    <cellStyle name="Accent3 4_Trimestral" xfId="3111" xr:uid="{9D56412D-5D26-4F4F-B9A1-AE965CA3F38B}"/>
    <cellStyle name="Accent3 5" xfId="1184" xr:uid="{6012593A-61BF-4A65-8B70-65058DA3A6D5}"/>
    <cellStyle name="Accent3 5 10" xfId="3118" xr:uid="{EE20DE69-2CE5-44FE-886B-95A7675FD2F7}"/>
    <cellStyle name="Accent3 5 11" xfId="3119" xr:uid="{B8DED712-24D4-4FCC-BF7C-AFE4C20A2536}"/>
    <cellStyle name="Accent3 5 12" xfId="3120" xr:uid="{154C3DA2-8635-4CBD-A1B4-D2B0D3A477CD}"/>
    <cellStyle name="Accent3 5 2" xfId="1185" xr:uid="{5133FD65-6184-49F2-BD20-FB6022C90268}"/>
    <cellStyle name="Accent3 5 3" xfId="1186" xr:uid="{BE596D20-F7FE-49DC-8E60-A6DFF05E5166}"/>
    <cellStyle name="Accent3 5 4" xfId="1187" xr:uid="{DA52E5B5-EF1E-47A4-84E4-AD9C198BA115}"/>
    <cellStyle name="Accent3 5 5" xfId="1188" xr:uid="{E7F26307-2B6C-4138-BB8B-A4FB654700A8}"/>
    <cellStyle name="Accent3 5 6" xfId="1189" xr:uid="{C5EBBEC4-70E9-42F5-AC17-F883BB88DCA4}"/>
    <cellStyle name="Accent3 5 7" xfId="1190" xr:uid="{A3A02BB3-9675-468C-A372-ADCE831DA522}"/>
    <cellStyle name="Accent3 5 8" xfId="3121" xr:uid="{1E301807-FD1F-485E-AE90-157603C93B1E}"/>
    <cellStyle name="Accent3 5 9" xfId="3122" xr:uid="{E310DB19-42AF-4917-976C-0D6DCD6BD041}"/>
    <cellStyle name="Accent3 5_Trimestral" xfId="3117" xr:uid="{C7AEADCC-C940-4236-B631-A5A2310F8B83}"/>
    <cellStyle name="Accent3 6" xfId="1191" xr:uid="{AB043512-6D8B-4D63-A511-E2830A024E3E}"/>
    <cellStyle name="Accent3 6 10" xfId="3124" xr:uid="{9D0F9BD4-B1B6-4BE4-82CF-1E561F256146}"/>
    <cellStyle name="Accent3 6 11" xfId="3125" xr:uid="{10FA0734-57EA-4034-BB7A-3FBFAA62AC0B}"/>
    <cellStyle name="Accent3 6 12" xfId="3126" xr:uid="{92AF83A8-7931-407D-9D7B-0759F4BA35A8}"/>
    <cellStyle name="Accent3 6 2" xfId="1192" xr:uid="{D91AEE04-F350-45C2-8574-066542845AB5}"/>
    <cellStyle name="Accent3 6 3" xfId="1193" xr:uid="{1217AC39-B793-4C7C-B567-D777FA772EAA}"/>
    <cellStyle name="Accent3 6 4" xfId="1194" xr:uid="{EFBAD6B4-3455-484F-8E12-B598CA7B4DCB}"/>
    <cellStyle name="Accent3 6 5" xfId="1195" xr:uid="{60754BDF-757E-4537-B2AE-BE62939CA165}"/>
    <cellStyle name="Accent3 6 6" xfId="1196" xr:uid="{6CFAD547-35C9-44A3-9CA8-63B5045C108E}"/>
    <cellStyle name="Accent3 6 7" xfId="1197" xr:uid="{D4D87184-A0A6-4956-8FEE-48770C1A6B9F}"/>
    <cellStyle name="Accent3 6 8" xfId="3127" xr:uid="{EA19F474-44C3-4001-BC97-6C9999A991AA}"/>
    <cellStyle name="Accent3 6 9" xfId="3128" xr:uid="{978794D3-AF9C-48BF-858F-10E239E0E52C}"/>
    <cellStyle name="Accent3 6_Trimestral" xfId="3123" xr:uid="{4D31D8A7-C3EC-4300-80A5-603F31E6BF61}"/>
    <cellStyle name="Accent3 7" xfId="1198" xr:uid="{9A623151-9049-4165-827A-A12D592C1DA3}"/>
    <cellStyle name="Accent3 7 10" xfId="3130" xr:uid="{A1C1B43E-10F8-410A-A3F6-37A934C6D49A}"/>
    <cellStyle name="Accent3 7 11" xfId="3131" xr:uid="{1D4D32E3-BAD4-4886-980E-957B60E1C3AB}"/>
    <cellStyle name="Accent3 7 12" xfId="3132" xr:uid="{E50203FC-9A4D-4C77-969B-07467C402D2D}"/>
    <cellStyle name="Accent3 7 2" xfId="1199" xr:uid="{BE1FCBFE-99DC-461C-B11B-1AB191B2E759}"/>
    <cellStyle name="Accent3 7 3" xfId="1200" xr:uid="{C9E844F0-0446-40AE-8F9E-B2CAA2DB600D}"/>
    <cellStyle name="Accent3 7 4" xfId="1201" xr:uid="{EA0A2F33-6F1D-447E-B8DD-B77656AB545B}"/>
    <cellStyle name="Accent3 7 5" xfId="1202" xr:uid="{7618E2EC-67FE-494A-9644-ECF3B8537BF9}"/>
    <cellStyle name="Accent3 7 6" xfId="1203" xr:uid="{42B0271D-EF12-45A0-8C0A-ECD866A1B766}"/>
    <cellStyle name="Accent3 7 7" xfId="1204" xr:uid="{B1BBCEFB-8410-4B91-AB45-5660BEC5C87B}"/>
    <cellStyle name="Accent3 7 8" xfId="3133" xr:uid="{EA4F8F3A-12D6-4A80-B2DD-7228258A0DBB}"/>
    <cellStyle name="Accent3 7 9" xfId="3134" xr:uid="{431E8DCC-E2AD-4F78-97A6-C843CCB76FB3}"/>
    <cellStyle name="Accent3 7_Trimestral" xfId="3129" xr:uid="{B4ADFBD8-AD9E-4D60-82E7-2041F2CCA383}"/>
    <cellStyle name="Accent3 8" xfId="1205" xr:uid="{D41430E1-989C-4BE9-A602-DB65CB734D11}"/>
    <cellStyle name="Accent3 8 10" xfId="3136" xr:uid="{183758F1-124F-4D7A-91CF-0D905C50E8F1}"/>
    <cellStyle name="Accent3 8 11" xfId="3137" xr:uid="{F3C2DE48-7DED-4703-A836-726851FF0111}"/>
    <cellStyle name="Accent3 8 12" xfId="3138" xr:uid="{AECC901B-37DE-4EB2-9C57-7DD2E1129ECA}"/>
    <cellStyle name="Accent3 8 2" xfId="1206" xr:uid="{0AC92725-55F5-4716-B243-3B1306CC8DA7}"/>
    <cellStyle name="Accent3 8 3" xfId="1207" xr:uid="{DBF05C71-848D-4A78-81E0-A432B41AD785}"/>
    <cellStyle name="Accent3 8 4" xfId="1208" xr:uid="{8BA22F16-2A24-46AA-BF7A-C52338E3F5F6}"/>
    <cellStyle name="Accent3 8 5" xfId="1209" xr:uid="{92EE1230-787A-46DD-BD48-811F923EB3CF}"/>
    <cellStyle name="Accent3 8 6" xfId="1210" xr:uid="{57CC0FB2-D1B5-4A2C-B8A3-945E256AEFC7}"/>
    <cellStyle name="Accent3 8 7" xfId="1211" xr:uid="{E93E8CB5-F501-454F-860E-7DFB04D231ED}"/>
    <cellStyle name="Accent3 8 8" xfId="3139" xr:uid="{BE367CDA-470B-4DD6-A38C-4453BBE92089}"/>
    <cellStyle name="Accent3 8 9" xfId="3140" xr:uid="{44532ECC-469B-4D6F-8B55-3945DE7D018A}"/>
    <cellStyle name="Accent3 8_Trimestral" xfId="3135" xr:uid="{04D5A7BB-C22A-42FF-8A82-D09FA7D26674}"/>
    <cellStyle name="Accent3 9" xfId="3141" xr:uid="{A9AF9D88-5977-4EFB-9B44-09D5AC094191}"/>
    <cellStyle name="Accent4" xfId="89" builtinId="41" customBuiltin="1"/>
    <cellStyle name="Accent4 2" xfId="1212" xr:uid="{2558D8F6-703D-4255-A931-3B60B10AD1B1}"/>
    <cellStyle name="Accent4 2 10" xfId="3143" xr:uid="{49660D5B-EEDE-448E-93F9-D2832337B279}"/>
    <cellStyle name="Accent4 2 11" xfId="3144" xr:uid="{F0CD45B6-344B-49EF-AC1A-46D4FE619E01}"/>
    <cellStyle name="Accent4 2 12" xfId="3145" xr:uid="{668ADCA8-C08D-4A4A-98ED-5193F419D7C3}"/>
    <cellStyle name="Accent4 2 2" xfId="1213" xr:uid="{A2598A35-D040-4CAE-A849-E8F5E6796732}"/>
    <cellStyle name="Accent4 2 3" xfId="1214" xr:uid="{F346D730-C44D-49DA-9381-25FE54CFEE0E}"/>
    <cellStyle name="Accent4 2 4" xfId="1215" xr:uid="{515DEF6C-A89F-4E28-BADF-DAF8364DAF02}"/>
    <cellStyle name="Accent4 2 5" xfId="1216" xr:uid="{BFD37FE5-305C-4E1D-A05C-84C5C3EB5AB9}"/>
    <cellStyle name="Accent4 2 6" xfId="1217" xr:uid="{48F748F6-A4B1-4BA9-AADC-70770BF012DD}"/>
    <cellStyle name="Accent4 2 7" xfId="1218" xr:uid="{314987C2-AF5A-4345-845A-2D1BDDC6C16F}"/>
    <cellStyle name="Accent4 2 8" xfId="3146" xr:uid="{9AA0B3EC-35BF-4868-8037-6D407AA4B09E}"/>
    <cellStyle name="Accent4 2 9" xfId="3147" xr:uid="{98426417-EA57-4583-BA18-963684136B7E}"/>
    <cellStyle name="Accent4 2_Trimestral" xfId="3142" xr:uid="{5581C4B9-3B0C-44F4-A875-45508C121E4D}"/>
    <cellStyle name="Accent4 3" xfId="1219" xr:uid="{F00C978C-6A20-4F59-A3ED-A3F07399EABD}"/>
    <cellStyle name="Accent4 3 10" xfId="3149" xr:uid="{10D93115-9EFB-49CD-9D30-26E8B6DAC98D}"/>
    <cellStyle name="Accent4 3 11" xfId="3150" xr:uid="{702927D2-5F6F-4957-B481-17B9CBE962C8}"/>
    <cellStyle name="Accent4 3 12" xfId="3151" xr:uid="{ED1078A3-5317-425A-97E5-6814D3521463}"/>
    <cellStyle name="Accent4 3 2" xfId="1220" xr:uid="{F0F68948-9672-4F23-B5CE-F3942861E07C}"/>
    <cellStyle name="Accent4 3 3" xfId="1221" xr:uid="{AD1F84A8-C7E2-4442-A19B-6FDF3C66B884}"/>
    <cellStyle name="Accent4 3 4" xfId="1222" xr:uid="{76F05659-9F7B-4287-86FA-9219B43E6E59}"/>
    <cellStyle name="Accent4 3 5" xfId="1223" xr:uid="{C2641809-6B9F-4D6D-9440-82665B706AC3}"/>
    <cellStyle name="Accent4 3 6" xfId="1224" xr:uid="{2355D0E7-1D51-4ADD-B69B-1C14214CB040}"/>
    <cellStyle name="Accent4 3 7" xfId="1225" xr:uid="{E86DCF2F-4F0D-4C71-B353-DFD6EEB01A68}"/>
    <cellStyle name="Accent4 3 8" xfId="3152" xr:uid="{14681643-629A-48C1-B3A6-ED561C9CF79C}"/>
    <cellStyle name="Accent4 3 9" xfId="3153" xr:uid="{51C0956B-3814-433C-9932-F58423FA5A11}"/>
    <cellStyle name="Accent4 3_Trimestral" xfId="3148" xr:uid="{3626E5B2-2B80-419C-994D-91ABF12D15B4}"/>
    <cellStyle name="Accent4 4" xfId="1226" xr:uid="{2DB5A66E-C804-405E-B463-8E3F12D520E9}"/>
    <cellStyle name="Accent4 4 10" xfId="3155" xr:uid="{60A3139B-72BE-4589-B9E3-A4E5D352FDC2}"/>
    <cellStyle name="Accent4 4 11" xfId="3156" xr:uid="{9A4FA927-1881-448D-AA4D-2107117FE4E6}"/>
    <cellStyle name="Accent4 4 12" xfId="3157" xr:uid="{297F0686-2F33-4F73-91E1-0A5E64CB54C1}"/>
    <cellStyle name="Accent4 4 2" xfId="1227" xr:uid="{974C8AA6-7259-415E-905F-1BD69A655DCC}"/>
    <cellStyle name="Accent4 4 3" xfId="1228" xr:uid="{58A4CAC0-9490-4E8D-BC1E-11A7CCF8BC15}"/>
    <cellStyle name="Accent4 4 4" xfId="1229" xr:uid="{1A18E618-5C4C-416A-9629-E7BDA9F0E5D5}"/>
    <cellStyle name="Accent4 4 5" xfId="1230" xr:uid="{31DDA3A6-88DA-4B0F-AB22-DA584F4FB7FF}"/>
    <cellStyle name="Accent4 4 6" xfId="1231" xr:uid="{2FAF0932-8031-489C-9F30-C0BF4A816AC2}"/>
    <cellStyle name="Accent4 4 7" xfId="1232" xr:uid="{F43E4FF5-4DA1-489B-A5F9-AF3E693128DE}"/>
    <cellStyle name="Accent4 4 8" xfId="3158" xr:uid="{8DDDA26F-2C14-426D-8132-C91E74310106}"/>
    <cellStyle name="Accent4 4 9" xfId="3159" xr:uid="{6EDA0997-DEB2-4C61-8274-1E2A59E4A554}"/>
    <cellStyle name="Accent4 4_Trimestral" xfId="3154" xr:uid="{3B6F9F40-D107-4DD8-B3E1-37FFE193D412}"/>
    <cellStyle name="Accent4 5" xfId="1233" xr:uid="{8EDD8A9B-E52B-406E-9FEE-B27C22523236}"/>
    <cellStyle name="Accent4 5 10" xfId="3161" xr:uid="{DA002EF2-33B2-4879-9719-3111FB83E73F}"/>
    <cellStyle name="Accent4 5 11" xfId="3162" xr:uid="{E9A2555E-2FCA-4A41-B15D-13CBA112E9B2}"/>
    <cellStyle name="Accent4 5 12" xfId="3163" xr:uid="{64510AD9-A91E-4D33-B150-AAD409E746CC}"/>
    <cellStyle name="Accent4 5 2" xfId="1234" xr:uid="{B71D0F5C-2DE5-4A0F-A8D1-388EE23EA978}"/>
    <cellStyle name="Accent4 5 3" xfId="1235" xr:uid="{3D8D9479-7857-4F55-94D9-11F35BA0DECD}"/>
    <cellStyle name="Accent4 5 4" xfId="1236" xr:uid="{7BC96B99-F603-4ED8-B6C2-1CF25661141A}"/>
    <cellStyle name="Accent4 5 5" xfId="1237" xr:uid="{81B64FC8-8591-48E5-8969-13AF94B34C67}"/>
    <cellStyle name="Accent4 5 6" xfId="1238" xr:uid="{911B1E68-BE0F-4408-8E3B-CB0CE5EC66A4}"/>
    <cellStyle name="Accent4 5 7" xfId="1239" xr:uid="{FE6571B9-370E-442D-ABA5-8C706518473A}"/>
    <cellStyle name="Accent4 5 8" xfId="3164" xr:uid="{F90BA49D-5063-4E2B-A499-C223B17C25B5}"/>
    <cellStyle name="Accent4 5 9" xfId="3165" xr:uid="{83219294-AAAB-47EB-96D4-5CCF2D01F84E}"/>
    <cellStyle name="Accent4 5_Trimestral" xfId="3160" xr:uid="{0C24F703-36A2-431C-AB92-9E9DD9C2D98B}"/>
    <cellStyle name="Accent4 6" xfId="1240" xr:uid="{84498EFE-01C1-4E53-8ED9-720428643ED1}"/>
    <cellStyle name="Accent4 6 10" xfId="3167" xr:uid="{12AEDAD7-983E-43E4-B6F2-E678FA65FF48}"/>
    <cellStyle name="Accent4 6 11" xfId="3168" xr:uid="{980353A7-E1C6-4A1D-8F04-733D4C4B1898}"/>
    <cellStyle name="Accent4 6 12" xfId="3169" xr:uid="{7AB9C990-FD68-46FD-AD58-18F9BDB00339}"/>
    <cellStyle name="Accent4 6 2" xfId="1241" xr:uid="{270CC28B-D7A6-4366-92DA-BAC9F8BDCF51}"/>
    <cellStyle name="Accent4 6 3" xfId="1242" xr:uid="{9FA4AA2E-64A7-4502-992A-387254BB1D7F}"/>
    <cellStyle name="Accent4 6 4" xfId="1243" xr:uid="{11284878-EF28-47FE-B0F6-7222AAAD3971}"/>
    <cellStyle name="Accent4 6 5" xfId="1244" xr:uid="{2112C3F9-40A1-40E8-9C44-37ED4FA7B0CF}"/>
    <cellStyle name="Accent4 6 6" xfId="1245" xr:uid="{36629F5A-6D6B-4B64-9239-6436F9C8840B}"/>
    <cellStyle name="Accent4 6 7" xfId="1246" xr:uid="{FFFB888E-EF90-42EB-B89F-369E75500EDC}"/>
    <cellStyle name="Accent4 6 8" xfId="3170" xr:uid="{AA63C70F-7EEE-4A59-A578-FBF55DD1B787}"/>
    <cellStyle name="Accent4 6 9" xfId="3171" xr:uid="{1CFC7F8C-9A32-40CB-A160-E3502890E6AC}"/>
    <cellStyle name="Accent4 6_Trimestral" xfId="3166" xr:uid="{3E05F091-B603-4629-8796-ABE41DE8F20E}"/>
    <cellStyle name="Accent4 7" xfId="1247" xr:uid="{53D8BEEC-54AA-4561-99B6-D07257F7266F}"/>
    <cellStyle name="Accent4 7 10" xfId="3173" xr:uid="{C479DCEC-76F2-47CF-BC9D-B38630C189B7}"/>
    <cellStyle name="Accent4 7 11" xfId="3174" xr:uid="{5F6C74A5-78ED-40A2-8739-7FDA5DDDA1E7}"/>
    <cellStyle name="Accent4 7 12" xfId="3175" xr:uid="{340C013D-2C0D-436E-9E8B-71DEDE61FCF5}"/>
    <cellStyle name="Accent4 7 2" xfId="1248" xr:uid="{7790FE6D-757E-434F-AE6B-4F6020DFE701}"/>
    <cellStyle name="Accent4 7 3" xfId="1249" xr:uid="{41146D5E-92ED-4C29-8BB9-C54FBD6E757C}"/>
    <cellStyle name="Accent4 7 4" xfId="1250" xr:uid="{7EDA99BC-2708-4DC5-8C9A-70264D7D6E32}"/>
    <cellStyle name="Accent4 7 5" xfId="1251" xr:uid="{FBFCC868-8672-4728-8115-22F44B0D9FD5}"/>
    <cellStyle name="Accent4 7 6" xfId="1252" xr:uid="{F70AAC47-62EB-448D-9B61-7A50B57A8674}"/>
    <cellStyle name="Accent4 7 7" xfId="1253" xr:uid="{33CEE550-035D-4446-B89A-26F2BD3E0BF5}"/>
    <cellStyle name="Accent4 7 8" xfId="3176" xr:uid="{029FBE41-35F5-4545-B485-FFCCD16D8581}"/>
    <cellStyle name="Accent4 7 9" xfId="3177" xr:uid="{AF99DB21-2CCA-4BEB-9073-580BD0C60419}"/>
    <cellStyle name="Accent4 7_Trimestral" xfId="3172" xr:uid="{FCF31026-D9FC-473B-84A0-22B3DC7F0646}"/>
    <cellStyle name="Accent4 8" xfId="1254" xr:uid="{7BD0DFD5-9BA4-415C-B82D-EF96C98CB564}"/>
    <cellStyle name="Accent4 8 10" xfId="3179" xr:uid="{71F53512-6EDC-4246-8056-41A22688C9D6}"/>
    <cellStyle name="Accent4 8 11" xfId="3180" xr:uid="{558E0A72-4EAF-4102-BF52-1DB302A5B444}"/>
    <cellStyle name="Accent4 8 12" xfId="3181" xr:uid="{A9F2102E-8329-4D57-9D3B-7C7E0E9F9A61}"/>
    <cellStyle name="Accent4 8 2" xfId="1255" xr:uid="{51BF5911-8AAA-41A4-9D6D-B4DA5669FD27}"/>
    <cellStyle name="Accent4 8 3" xfId="1256" xr:uid="{84FC79AC-141F-4EE8-98F7-3D1D94306BD0}"/>
    <cellStyle name="Accent4 8 4" xfId="1257" xr:uid="{046BAA15-FA04-485B-978B-1F811172E402}"/>
    <cellStyle name="Accent4 8 5" xfId="1258" xr:uid="{ECDF749A-6B4F-4771-9A45-2F51CAE05DA9}"/>
    <cellStyle name="Accent4 8 6" xfId="1259" xr:uid="{DE6C2E7C-E7B7-4A8B-955D-5815A1F48818}"/>
    <cellStyle name="Accent4 8 7" xfId="1260" xr:uid="{F960BF49-C854-4720-AA82-8BF88828B7A9}"/>
    <cellStyle name="Accent4 8 8" xfId="3182" xr:uid="{327889FE-AB3B-4219-90B1-65C1080266E0}"/>
    <cellStyle name="Accent4 8 9" xfId="3183" xr:uid="{4B6FAF55-518B-4607-899C-498679EE04B1}"/>
    <cellStyle name="Accent4 8_Trimestral" xfId="3178" xr:uid="{48A7E99F-86EF-41B6-924E-338EAE294CB5}"/>
    <cellStyle name="Accent4 9" xfId="3184" xr:uid="{77B03ED6-18AB-4DF4-9116-07E79FBCA820}"/>
    <cellStyle name="Accent5" xfId="11" builtinId="45" customBuiltin="1"/>
    <cellStyle name="Accent5 2" xfId="1261" xr:uid="{07F3FF13-9AFA-4082-9077-9D3A56C29ADB}"/>
    <cellStyle name="Accent5 2 10" xfId="3186" xr:uid="{99DD96FD-BF2E-4D55-9821-1AF0FE171DF9}"/>
    <cellStyle name="Accent5 2 11" xfId="3187" xr:uid="{A3F186DD-5928-49DC-82A8-04C2C5E99F0A}"/>
    <cellStyle name="Accent5 2 12" xfId="3188" xr:uid="{7EEE2342-D9A9-4AE4-B59C-BF80954ECEEF}"/>
    <cellStyle name="Accent5 2 2" xfId="1262" xr:uid="{5B7D0FA3-54D4-4ED5-A975-FFB252B1278F}"/>
    <cellStyle name="Accent5 2 3" xfId="1263" xr:uid="{E14DF413-9796-4966-A5DD-3CDDAB1B6203}"/>
    <cellStyle name="Accent5 2 4" xfId="1264" xr:uid="{71363D24-952D-4D15-B693-0CB9BD97B7E5}"/>
    <cellStyle name="Accent5 2 5" xfId="1265" xr:uid="{96F90D64-9967-446A-B5BC-88DFA77D5333}"/>
    <cellStyle name="Accent5 2 6" xfId="1266" xr:uid="{3E7518AB-4C3C-4ACF-BC6A-B330A11522DA}"/>
    <cellStyle name="Accent5 2 7" xfId="1267" xr:uid="{84A69DC8-A429-4439-BBA4-F2C6A3CD95C9}"/>
    <cellStyle name="Accent5 2 8" xfId="3189" xr:uid="{B9573E17-C5EE-4763-80F6-585F6ACAD538}"/>
    <cellStyle name="Accent5 2 9" xfId="3190" xr:uid="{600AAA82-FD55-4AB4-9047-9148F956184C}"/>
    <cellStyle name="Accent5 2_Trimestral" xfId="3185" xr:uid="{200CFCD6-89F5-4407-AC69-765ED5AA2D97}"/>
    <cellStyle name="Accent5 3" xfId="1268" xr:uid="{9CCD3827-EE09-4A3F-B16F-26C07EB1E49A}"/>
    <cellStyle name="Accent5 3 10" xfId="3192" xr:uid="{A34DC839-95FD-4719-BE76-908E7B9BCB97}"/>
    <cellStyle name="Accent5 3 11" xfId="3193" xr:uid="{F085FED1-7C01-4434-AC5E-671745E43496}"/>
    <cellStyle name="Accent5 3 12" xfId="3194" xr:uid="{60C8F947-8BE5-4F4A-B5B2-A130DE0C173C}"/>
    <cellStyle name="Accent5 3 2" xfId="1269" xr:uid="{C25039F5-E3B5-4BDE-97C7-83C8FFD6FCF7}"/>
    <cellStyle name="Accent5 3 3" xfId="1270" xr:uid="{D85960EF-0269-493C-89A7-219D044AB66A}"/>
    <cellStyle name="Accent5 3 4" xfId="1271" xr:uid="{5B521915-D95A-451A-A20B-07F97D7E4FB4}"/>
    <cellStyle name="Accent5 3 5" xfId="1272" xr:uid="{B7E1C47F-EF85-43E4-BB76-C800AAA73B40}"/>
    <cellStyle name="Accent5 3 6" xfId="1273" xr:uid="{DD4FDFED-2363-45E5-8934-9D2787341436}"/>
    <cellStyle name="Accent5 3 7" xfId="1274" xr:uid="{EC0C1C3F-F65E-47CE-A310-2414A5FD096D}"/>
    <cellStyle name="Accent5 3 8" xfId="3195" xr:uid="{510E7EFB-1095-48F5-AAAC-E573F9EED736}"/>
    <cellStyle name="Accent5 3 9" xfId="3196" xr:uid="{DA54A864-B0B4-406C-924E-0237B34F3957}"/>
    <cellStyle name="Accent5 3_Trimestral" xfId="3191" xr:uid="{F5101AB2-6004-4B79-9208-8C89F20AC605}"/>
    <cellStyle name="Accent5 4" xfId="1275" xr:uid="{89476DC0-E956-41D3-8B48-672FCDA5CC0E}"/>
    <cellStyle name="Accent5 4 10" xfId="3198" xr:uid="{0E7D9949-D608-4499-852B-75587ADD86B9}"/>
    <cellStyle name="Accent5 4 11" xfId="3199" xr:uid="{1045C7F9-195D-49CB-BF22-8173830767DC}"/>
    <cellStyle name="Accent5 4 12" xfId="3200" xr:uid="{99E1C090-C7B4-45C3-91D0-31F2EA234174}"/>
    <cellStyle name="Accent5 4 2" xfId="1276" xr:uid="{4742E275-8A7A-402F-902C-A17CD85A7AB8}"/>
    <cellStyle name="Accent5 4 3" xfId="1277" xr:uid="{B82774B2-A9E4-401A-80D4-D483EFC887F2}"/>
    <cellStyle name="Accent5 4 4" xfId="1278" xr:uid="{91A2F6D9-8F0B-4959-AD36-48042920E6FA}"/>
    <cellStyle name="Accent5 4 5" xfId="1279" xr:uid="{20129FBB-8BF5-402D-A45C-630BDC1FC86B}"/>
    <cellStyle name="Accent5 4 6" xfId="1280" xr:uid="{84D5BF7B-152E-47F0-9E38-CFA1DDC6D4E6}"/>
    <cellStyle name="Accent5 4 7" xfId="1281" xr:uid="{9D8B551C-3486-400A-B452-0348DA265BD2}"/>
    <cellStyle name="Accent5 4 8" xfId="3201" xr:uid="{4EBF820C-4E65-4C06-89D8-25806B654546}"/>
    <cellStyle name="Accent5 4 9" xfId="3202" xr:uid="{4FE6DF0D-B355-4965-BAE3-DA11409C4355}"/>
    <cellStyle name="Accent5 4_Trimestral" xfId="3197" xr:uid="{F1B3B1F9-5009-4FA8-9BC7-CA7239AA2FA6}"/>
    <cellStyle name="Accent5 5" xfId="1282" xr:uid="{8B5CD3FE-F2B5-49C6-8830-5A34733A2E7E}"/>
    <cellStyle name="Accent5 5 10" xfId="3204" xr:uid="{251AAE44-EE2E-4368-A4A4-B7BECAC80C66}"/>
    <cellStyle name="Accent5 5 11" xfId="3205" xr:uid="{ED676CAA-EC9C-4D9C-9B77-091A6C00D8FA}"/>
    <cellStyle name="Accent5 5 12" xfId="3206" xr:uid="{F7259657-ADA3-4A01-BA89-6CF5576CE612}"/>
    <cellStyle name="Accent5 5 2" xfId="1283" xr:uid="{87DCEF36-D069-4D80-9ACD-D7B1C9A79F0C}"/>
    <cellStyle name="Accent5 5 3" xfId="1284" xr:uid="{29CA7FC0-7252-450C-9FC1-1C6EBA39E36C}"/>
    <cellStyle name="Accent5 5 4" xfId="1285" xr:uid="{ADB35545-F3F0-427D-8BF9-31888CFEEB42}"/>
    <cellStyle name="Accent5 5 5" xfId="1286" xr:uid="{84D6AFA7-B47B-4FF8-AD43-1E65B0EAF1D6}"/>
    <cellStyle name="Accent5 5 6" xfId="1287" xr:uid="{6B74AB12-4AD1-482A-95BA-F06F8C10C60F}"/>
    <cellStyle name="Accent5 5 7" xfId="1288" xr:uid="{0A57A2B0-59B2-451A-A4E8-FEAF09127AF6}"/>
    <cellStyle name="Accent5 5 8" xfId="3207" xr:uid="{69180A7E-920C-423E-9C43-D85AA9C12969}"/>
    <cellStyle name="Accent5 5 9" xfId="3208" xr:uid="{25827ECE-AAAC-4470-A327-81F74B0EAD7C}"/>
    <cellStyle name="Accent5 5_Trimestral" xfId="3203" xr:uid="{F752577A-617C-4F3E-A486-F55121181737}"/>
    <cellStyle name="Accent5 6" xfId="3209" xr:uid="{59C6D64D-D911-402E-A77C-7D7AF41BC6F1}"/>
    <cellStyle name="Accent5 7" xfId="90" xr:uid="{D0F376EE-5C74-4187-94F7-DA238571B1FA}"/>
    <cellStyle name="Accent5 8" xfId="4098" xr:uid="{7E397D29-4A7C-4F73-98C5-4604E26A84BA}"/>
    <cellStyle name="Accent5 9" xfId="4170" xr:uid="{49AFA45C-C08B-4C26-AB8A-C7F6D972EC87}"/>
    <cellStyle name="Accent6" xfId="91" builtinId="49" customBuiltin="1"/>
    <cellStyle name="Accent6 2" xfId="1289" xr:uid="{B5F5B14E-CCFD-4AA9-A10B-7D2DFB2300F3}"/>
    <cellStyle name="Accent6 2 10" xfId="3211" xr:uid="{93030219-B78E-4D77-AB42-962FA0ABEDC8}"/>
    <cellStyle name="Accent6 2 11" xfId="3212" xr:uid="{56891AA9-FD2B-47A6-B3F6-91B30B019BFF}"/>
    <cellStyle name="Accent6 2 12" xfId="3213" xr:uid="{AEDBD48E-351D-4499-BB42-6CB150B4C8DD}"/>
    <cellStyle name="Accent6 2 2" xfId="1290" xr:uid="{1D004BF9-8F4C-42D1-9D44-EEAAEDEF16CA}"/>
    <cellStyle name="Accent6 2 3" xfId="1291" xr:uid="{F6BD426B-5E93-4D18-AD23-2F689F27E25D}"/>
    <cellStyle name="Accent6 2 4" xfId="1292" xr:uid="{C202D27F-4669-496A-AAAF-616923E64B4D}"/>
    <cellStyle name="Accent6 2 5" xfId="1293" xr:uid="{9C3B18CF-CADA-43FD-AE7E-B2B1E21EA38E}"/>
    <cellStyle name="Accent6 2 6" xfId="1294" xr:uid="{AA856B4E-8EBC-4904-8FE0-4B1CFD884307}"/>
    <cellStyle name="Accent6 2 7" xfId="1295" xr:uid="{F398E237-B58A-4BC8-B1A5-A580EC7B87D0}"/>
    <cellStyle name="Accent6 2 8" xfId="3214" xr:uid="{09EF67DD-BF6E-4EA8-B8F7-1862ACF0E980}"/>
    <cellStyle name="Accent6 2 9" xfId="3215" xr:uid="{D0580A34-8948-4D89-8467-3144741DB365}"/>
    <cellStyle name="Accent6 2_Trimestral" xfId="3210" xr:uid="{7AFBFF07-6117-4E18-99EC-20B249121ADC}"/>
    <cellStyle name="Accent6 3" xfId="1296" xr:uid="{F45D60CF-63F0-4B52-823E-429AD9AA4402}"/>
    <cellStyle name="Accent6 3 10" xfId="3217" xr:uid="{C3159D28-1594-4313-B70C-FE5E795E9D7D}"/>
    <cellStyle name="Accent6 3 11" xfId="3218" xr:uid="{21E81A14-4390-462F-9A64-48EB981AEC01}"/>
    <cellStyle name="Accent6 3 12" xfId="3219" xr:uid="{B0620981-82D6-4DD8-A0E4-1877435E02E8}"/>
    <cellStyle name="Accent6 3 2" xfId="1297" xr:uid="{E09C8702-3DA4-4A4A-ADF6-4D7DB2923DC1}"/>
    <cellStyle name="Accent6 3 3" xfId="1298" xr:uid="{AD6E2EE7-0023-4506-A52A-750051DABF08}"/>
    <cellStyle name="Accent6 3 4" xfId="1299" xr:uid="{2C2A37C9-DD8B-4580-9B47-C44D3FDDD9A3}"/>
    <cellStyle name="Accent6 3 5" xfId="1300" xr:uid="{52CF2AD5-C989-426D-8ACC-1400B9558FCA}"/>
    <cellStyle name="Accent6 3 6" xfId="1301" xr:uid="{3696E31A-E087-4C78-A0FD-EB2BC2764B0E}"/>
    <cellStyle name="Accent6 3 7" xfId="1302" xr:uid="{0BA61AA6-A7D0-4460-911E-A5EDF3C2520D}"/>
    <cellStyle name="Accent6 3 8" xfId="3220" xr:uid="{2E021C4A-4770-4167-ACCA-E194258ED8EC}"/>
    <cellStyle name="Accent6 3 9" xfId="3221" xr:uid="{5B407FFC-96A5-434F-801C-4BB36E45A365}"/>
    <cellStyle name="Accent6 3_Trimestral" xfId="3216" xr:uid="{EBB820C5-8B83-4CE4-832E-A5F08CD0CFBF}"/>
    <cellStyle name="Accent6 4" xfId="1303" xr:uid="{D96922C1-AD08-4C64-A669-8258DD5A5733}"/>
    <cellStyle name="Accent6 4 10" xfId="3223" xr:uid="{57BD6413-3D94-4A66-A443-B1C990C49A2E}"/>
    <cellStyle name="Accent6 4 11" xfId="3224" xr:uid="{18232441-EA2F-4535-BC0E-7F7426377518}"/>
    <cellStyle name="Accent6 4 12" xfId="3225" xr:uid="{466EDBC0-35EE-4AB6-BC53-C8CDF71043A0}"/>
    <cellStyle name="Accent6 4 2" xfId="1304" xr:uid="{05455B8B-4E33-48CA-B596-060360DF7A43}"/>
    <cellStyle name="Accent6 4 3" xfId="1305" xr:uid="{04EFA6DA-5630-41CA-9521-6A4B0A80A1E1}"/>
    <cellStyle name="Accent6 4 4" xfId="1306" xr:uid="{D6B1D615-38B1-4B69-B054-97012CFDB86B}"/>
    <cellStyle name="Accent6 4 5" xfId="1307" xr:uid="{59CC4790-5EB2-4CD8-BF9A-8AD792B669A5}"/>
    <cellStyle name="Accent6 4 6" xfId="1308" xr:uid="{8CFDEE50-0F10-4520-B97D-F557ECA8CA2B}"/>
    <cellStyle name="Accent6 4 7" xfId="1309" xr:uid="{F2445207-93ED-4404-A02E-BEF2F14325A3}"/>
    <cellStyle name="Accent6 4 8" xfId="3226" xr:uid="{F8CC1183-8A5A-47BA-AAEA-D59A616CF3E1}"/>
    <cellStyle name="Accent6 4 9" xfId="3227" xr:uid="{FD6EF1C8-CF32-45F8-A6CD-0DC120D62F8F}"/>
    <cellStyle name="Accent6 4_Trimestral" xfId="3222" xr:uid="{921DEFC3-C708-467D-AFEB-880309256AE7}"/>
    <cellStyle name="Accent6 5" xfId="1310" xr:uid="{ACC1E6A5-F04E-4C5E-9895-F1A2471C6241}"/>
    <cellStyle name="Accent6 5 10" xfId="3229" xr:uid="{5E8983FB-5FBD-43EA-9343-6E3B3998664F}"/>
    <cellStyle name="Accent6 5 11" xfId="3230" xr:uid="{4DC270C7-A179-42D9-895C-B2DEEF5E822F}"/>
    <cellStyle name="Accent6 5 12" xfId="3231" xr:uid="{1D3EC7D2-AF98-483E-9C26-6B35148309F2}"/>
    <cellStyle name="Accent6 5 2" xfId="1311" xr:uid="{6C6070C0-F634-4855-BA31-5BE055529CD2}"/>
    <cellStyle name="Accent6 5 3" xfId="1312" xr:uid="{D2B82B7E-EEB3-49B1-81AB-3E5CDE81F48A}"/>
    <cellStyle name="Accent6 5 4" xfId="1313" xr:uid="{9FDE1898-D68A-42B0-977D-61F89C4C4BDB}"/>
    <cellStyle name="Accent6 5 5" xfId="1314" xr:uid="{0D2A6F60-43FB-4548-AD2C-8368726DC2A2}"/>
    <cellStyle name="Accent6 5 6" xfId="1315" xr:uid="{0DB9043E-58F8-4AC8-A43D-99589CCC7F3B}"/>
    <cellStyle name="Accent6 5 7" xfId="1316" xr:uid="{28B45AFF-8414-4493-AADA-69B744C4BA16}"/>
    <cellStyle name="Accent6 5 8" xfId="3232" xr:uid="{6CB96F4A-C713-4E15-8F8D-4D8CFECC3750}"/>
    <cellStyle name="Accent6 5 9" xfId="3233" xr:uid="{7BC55E67-5BDC-4A7D-B9C8-2ED1EF1CB39D}"/>
    <cellStyle name="Accent6 5_Trimestral" xfId="3228" xr:uid="{45DE3C59-F4A2-4932-8EB0-5164E1AE8813}"/>
    <cellStyle name="Accent6 6" xfId="1317" xr:uid="{6A2552C6-C757-4366-B72E-38EDB9007BBE}"/>
    <cellStyle name="Accent6 6 10" xfId="3235" xr:uid="{7637372C-3FBF-4FE4-94D0-730F26D0FDEF}"/>
    <cellStyle name="Accent6 6 11" xfId="3236" xr:uid="{E1DC7D92-E8C4-4B87-BC9F-3FF605355D28}"/>
    <cellStyle name="Accent6 6 12" xfId="3237" xr:uid="{7210EEB5-FD6E-42AE-B853-BFB9CECCA291}"/>
    <cellStyle name="Accent6 6 2" xfId="1318" xr:uid="{E33ABE0B-5E4F-4237-8D1E-3827CD08F542}"/>
    <cellStyle name="Accent6 6 3" xfId="1319" xr:uid="{A6295A7A-ACDA-44BC-AC51-E8C391F52473}"/>
    <cellStyle name="Accent6 6 4" xfId="1320" xr:uid="{9158266F-9501-438E-A0EF-6CFDB4C70651}"/>
    <cellStyle name="Accent6 6 5" xfId="1321" xr:uid="{4162168F-C689-4EDC-8FA7-180BB84D71CC}"/>
    <cellStyle name="Accent6 6 6" xfId="1322" xr:uid="{50D7250A-C81F-490C-A86A-08DA25AFB530}"/>
    <cellStyle name="Accent6 6 7" xfId="1323" xr:uid="{78BECF2F-8659-422A-8FEA-39F707E2BD81}"/>
    <cellStyle name="Accent6 6 8" xfId="3238" xr:uid="{CC50F006-BB9C-47F1-AA40-F0568F463E84}"/>
    <cellStyle name="Accent6 6 9" xfId="3239" xr:uid="{00A5F2EE-2A78-4DC0-9DC6-B5145D7B96B6}"/>
    <cellStyle name="Accent6 6_Trimestral" xfId="3234" xr:uid="{DC64C6D7-AEE6-4AE3-B394-14A763B8EE7E}"/>
    <cellStyle name="Accent6 7" xfId="1324" xr:uid="{6020FF1A-A6D8-4713-9CEB-57DD618C5197}"/>
    <cellStyle name="Accent6 7 10" xfId="3241" xr:uid="{8A4F0B07-89E4-4543-819B-2C170A272053}"/>
    <cellStyle name="Accent6 7 11" xfId="3242" xr:uid="{E5EB114C-28B0-4DC5-996E-D78579F25FE8}"/>
    <cellStyle name="Accent6 7 12" xfId="3243" xr:uid="{F8473A6C-C895-4C5A-8B32-CED8F0B0D95C}"/>
    <cellStyle name="Accent6 7 2" xfId="1325" xr:uid="{B5EEBAD8-2205-440A-BE4E-7F80C63B86CC}"/>
    <cellStyle name="Accent6 7 3" xfId="1326" xr:uid="{1725A70D-255E-448B-92A2-E90435047234}"/>
    <cellStyle name="Accent6 7 4" xfId="1327" xr:uid="{ABDDB93E-B7C1-461B-B312-597F495C961B}"/>
    <cellStyle name="Accent6 7 5" xfId="1328" xr:uid="{1B894B22-9B4D-4C08-AA89-7B9F76D503C6}"/>
    <cellStyle name="Accent6 7 6" xfId="1329" xr:uid="{3C14FE83-8BF2-4751-93AA-0070619D4713}"/>
    <cellStyle name="Accent6 7 7" xfId="1330" xr:uid="{41F56274-9257-4C98-9D42-C5EF961DC6DA}"/>
    <cellStyle name="Accent6 7 8" xfId="3244" xr:uid="{7A6B223A-25AF-446D-9067-E42A686BC1C2}"/>
    <cellStyle name="Accent6 7 9" xfId="3245" xr:uid="{A8B4CA30-868A-4E01-B2FA-CEBE31999F60}"/>
    <cellStyle name="Accent6 7_Trimestral" xfId="3240" xr:uid="{8E3F2BE2-B328-45BD-8773-73FED777A3A1}"/>
    <cellStyle name="Accent6 8" xfId="1331" xr:uid="{1F61B6A5-E86A-4AB5-AA7E-3A116B8A89AA}"/>
    <cellStyle name="Accent6 8 10" xfId="3247" xr:uid="{36F21F41-67FA-4436-B895-C36DB239107A}"/>
    <cellStyle name="Accent6 8 11" xfId="3248" xr:uid="{019B19AA-29C6-46A5-8882-99007D1884C0}"/>
    <cellStyle name="Accent6 8 12" xfId="3249" xr:uid="{7E10E969-6B92-4CA4-82CD-B05871BFE80D}"/>
    <cellStyle name="Accent6 8 2" xfId="1332" xr:uid="{40FA23E7-DC18-4388-A898-F041E7199C1E}"/>
    <cellStyle name="Accent6 8 3" xfId="1333" xr:uid="{6A5C6A2D-9858-4773-8185-B74AFA8A2644}"/>
    <cellStyle name="Accent6 8 4" xfId="1334" xr:uid="{037EEDB0-0744-432F-920D-57DE9CA84D9E}"/>
    <cellStyle name="Accent6 8 5" xfId="1335" xr:uid="{F5374260-DE00-4D64-A861-0D4B91C6AFAD}"/>
    <cellStyle name="Accent6 8 6" xfId="1336" xr:uid="{2CCCEEED-AD48-4B66-8C4D-EF9DCF45120E}"/>
    <cellStyle name="Accent6 8 7" xfId="1337" xr:uid="{5F309D50-E98C-4672-A18D-7501A03B81E1}"/>
    <cellStyle name="Accent6 8 8" xfId="3250" xr:uid="{7A2382AE-0474-42EF-AC37-F9A56708A404}"/>
    <cellStyle name="Accent6 8 9" xfId="3251" xr:uid="{285EE6BE-0681-484B-ABB6-464D86AA3AE5}"/>
    <cellStyle name="Accent6 8_Trimestral" xfId="3246" xr:uid="{5AD1072D-74AA-4BCE-B006-0708E7629B27}"/>
    <cellStyle name="Accent6 9" xfId="3252" xr:uid="{F84776B3-5F32-47F6-A75A-7FD767EAB884}"/>
    <cellStyle name="b0let" xfId="75" xr:uid="{401909DF-53A8-4767-9E15-817E74BC8FAB}"/>
    <cellStyle name="Bad" xfId="2" builtinId="27" customBuiltin="1"/>
    <cellStyle name="Bad 2" xfId="1338" xr:uid="{2ACDC720-450C-45E4-8BDC-8AD684659F9E}"/>
    <cellStyle name="Bad 2 10" xfId="3254" xr:uid="{6581B678-8962-416B-B068-168097A61CF1}"/>
    <cellStyle name="Bad 2 11" xfId="3255" xr:uid="{F7275DB8-71C6-47BE-B57E-B76769AAB602}"/>
    <cellStyle name="Bad 2 12" xfId="3256" xr:uid="{647A9355-CF3C-40C5-B3F7-1B0717E3020A}"/>
    <cellStyle name="Bad 2 2" xfId="1339" xr:uid="{CB451F0E-021E-4E6B-BF10-3FB6231BFA13}"/>
    <cellStyle name="Bad 2 3" xfId="1340" xr:uid="{C898377A-BE36-44A9-9539-7ABADD4C041F}"/>
    <cellStyle name="Bad 2 4" xfId="1341" xr:uid="{6E3F70AF-E9FB-4128-8103-ACC5CECC34CF}"/>
    <cellStyle name="Bad 2 5" xfId="1342" xr:uid="{A20BCC9C-8EFC-47C5-8769-A372D42EE7B3}"/>
    <cellStyle name="Bad 2 6" xfId="1343" xr:uid="{AE971CE3-6130-4021-9C53-FC3F166D844A}"/>
    <cellStyle name="Bad 2 7" xfId="1344" xr:uid="{8ADB06F9-83D5-4B41-9624-5B6EF65DD368}"/>
    <cellStyle name="Bad 2 8" xfId="3257" xr:uid="{3406F0A3-B323-4F25-B81F-A45604365196}"/>
    <cellStyle name="Bad 2 9" xfId="3258" xr:uid="{EA6D6A4B-A6EC-4BD3-A4A5-A48A30C36E61}"/>
    <cellStyle name="Bad 2_Trimestral" xfId="3253" xr:uid="{83BA3CB1-C891-49E8-BAE0-72ADDA01E3E6}"/>
    <cellStyle name="Bad 3" xfId="1345" xr:uid="{F9290351-1F16-4D4C-B659-B0EA3749C752}"/>
    <cellStyle name="Bad 3 10" xfId="3260" xr:uid="{3D804C0C-E07A-4FA7-9F43-598D34888066}"/>
    <cellStyle name="Bad 3 11" xfId="3261" xr:uid="{8DA7AFC5-8C22-4725-B8BF-0B0C4314324E}"/>
    <cellStyle name="Bad 3 12" xfId="3262" xr:uid="{4CE3F20D-627D-4B4F-AAA8-C80BCE5815B1}"/>
    <cellStyle name="Bad 3 2" xfId="1346" xr:uid="{195F1BEA-844C-4D31-A193-5F4272ED4B15}"/>
    <cellStyle name="Bad 3 3" xfId="1347" xr:uid="{3D627F68-08D6-4299-A24E-B451B71D22A7}"/>
    <cellStyle name="Bad 3 4" xfId="1348" xr:uid="{323556FA-55DE-4235-97AD-C99934889C93}"/>
    <cellStyle name="Bad 3 5" xfId="1349" xr:uid="{4C8E972A-27C6-4D28-8CCC-EE3F2F11AB74}"/>
    <cellStyle name="Bad 3 6" xfId="1350" xr:uid="{D9EF843D-F575-4E49-8E13-3F49B1088AEC}"/>
    <cellStyle name="Bad 3 7" xfId="1351" xr:uid="{29159211-4FD9-45BE-8386-911BBB228489}"/>
    <cellStyle name="Bad 3 8" xfId="3263" xr:uid="{B6F76A4E-C49F-4B4E-A833-22C781DE9B94}"/>
    <cellStyle name="Bad 3 9" xfId="3264" xr:uid="{52EC46B4-03C4-4997-97C6-3C11EA31501D}"/>
    <cellStyle name="Bad 3_Trimestral" xfId="3259" xr:uid="{3262F4D9-A098-4181-99C4-890A63C1AABC}"/>
    <cellStyle name="Bad 4" xfId="1352" xr:uid="{56186F40-8311-4C81-9D5B-78E29B008DCD}"/>
    <cellStyle name="Bad 4 10" xfId="3266" xr:uid="{CE583033-0C9A-448F-B100-6E045D2EA50E}"/>
    <cellStyle name="Bad 4 11" xfId="3267" xr:uid="{3FF81B92-C308-469E-97C4-9767CCCAD7AC}"/>
    <cellStyle name="Bad 4 12" xfId="3268" xr:uid="{8C749ED6-F16B-4443-A305-140AA75CB699}"/>
    <cellStyle name="Bad 4 2" xfId="1353" xr:uid="{B71B526E-E3FB-457F-B83C-AF1E74D2E4A4}"/>
    <cellStyle name="Bad 4 3" xfId="1354" xr:uid="{1A90875A-A656-4B7B-B986-5C6DE838E38E}"/>
    <cellStyle name="Bad 4 4" xfId="1355" xr:uid="{7C891F47-CED9-4A15-B0FF-1C87D2B422F8}"/>
    <cellStyle name="Bad 4 5" xfId="1356" xr:uid="{F649D261-8F9B-47A8-A6B7-6654AE9C402E}"/>
    <cellStyle name="Bad 4 6" xfId="1357" xr:uid="{E5B81BE6-DE2D-4559-B9FE-A60DBCF4A652}"/>
    <cellStyle name="Bad 4 7" xfId="1358" xr:uid="{832A71CE-09D6-490E-9424-949819C1A65C}"/>
    <cellStyle name="Bad 4 8" xfId="3269" xr:uid="{8A4955A9-0C67-4301-AD90-1B78A72848C8}"/>
    <cellStyle name="Bad 4 9" xfId="3270" xr:uid="{A08984FF-E552-4887-987B-466AC5AB2CE7}"/>
    <cellStyle name="Bad 4_Trimestral" xfId="3265" xr:uid="{6BC7320F-5027-4062-8E88-852974ECA94B}"/>
    <cellStyle name="Bad 5" xfId="1359" xr:uid="{8DFF01A2-46A4-43C9-BAD3-437E325D01CC}"/>
    <cellStyle name="Bad 5 10" xfId="3272" xr:uid="{CBA790A8-B15B-4E2F-AE3D-2395EF1EBF8D}"/>
    <cellStyle name="Bad 5 11" xfId="3273" xr:uid="{DCD82CF8-8C9D-4BD9-B21A-4E5C8CBED5F7}"/>
    <cellStyle name="Bad 5 12" xfId="3274" xr:uid="{23425DD0-732B-4CE0-A81F-E3C7CCE1E998}"/>
    <cellStyle name="Bad 5 2" xfId="1360" xr:uid="{15A8A919-A2BD-41CA-9349-0C50D7C72B8B}"/>
    <cellStyle name="Bad 5 3" xfId="1361" xr:uid="{84C5A013-7B44-431E-8AE8-D52D8BAD53FA}"/>
    <cellStyle name="Bad 5 4" xfId="1362" xr:uid="{51513AD9-8523-4DF3-8993-1018C75FB640}"/>
    <cellStyle name="Bad 5 5" xfId="1363" xr:uid="{4B7C99EE-5EE7-4544-B7FD-CBA8E820A967}"/>
    <cellStyle name="Bad 5 6" xfId="1364" xr:uid="{D0E82CD7-6B30-4701-A274-E94CCA381729}"/>
    <cellStyle name="Bad 5 7" xfId="1365" xr:uid="{B05CB76F-206E-4750-B6CE-47623EDEAB81}"/>
    <cellStyle name="Bad 5 8" xfId="3275" xr:uid="{9EAE6231-10DE-4318-B4E3-194360195FB3}"/>
    <cellStyle name="Bad 5 9" xfId="3276" xr:uid="{A2E040CB-F213-4549-B3DE-FC3035F23F94}"/>
    <cellStyle name="Bad 5_Trimestral" xfId="3271" xr:uid="{578DD472-04B8-4E13-9888-87BC38D67C1C}"/>
    <cellStyle name="Bad 6" xfId="1366" xr:uid="{64605550-444C-41B3-9266-CFEB49A1A711}"/>
    <cellStyle name="Bad 6 10" xfId="3278" xr:uid="{D598640C-B899-4671-A6C3-35E328F4721C}"/>
    <cellStyle name="Bad 6 11" xfId="3279" xr:uid="{34D0569E-731E-4313-925D-B9DD3249074E}"/>
    <cellStyle name="Bad 6 12" xfId="3280" xr:uid="{40ADC610-BEAA-4531-A572-51410787F0BF}"/>
    <cellStyle name="Bad 6 2" xfId="1367" xr:uid="{0610966B-7997-4AA0-8BA8-5B7ACA9D4C8C}"/>
    <cellStyle name="Bad 6 3" xfId="1368" xr:uid="{260772F7-19B8-4222-8375-5DF80F11935B}"/>
    <cellStyle name="Bad 6 4" xfId="1369" xr:uid="{58843389-196E-4916-BE5C-07D7971DC542}"/>
    <cellStyle name="Bad 6 5" xfId="1370" xr:uid="{58B091CB-8019-45BE-8176-EC53653CB39D}"/>
    <cellStyle name="Bad 6 6" xfId="1371" xr:uid="{6AB786F7-A7F6-48BE-8F5C-BD3461570299}"/>
    <cellStyle name="Bad 6 7" xfId="1372" xr:uid="{C7C07B6F-41D6-4B3E-85A7-40A6EA98531F}"/>
    <cellStyle name="Bad 6 8" xfId="3281" xr:uid="{1109FCC4-F526-48B6-B29E-8C257BF8C0ED}"/>
    <cellStyle name="Bad 6 9" xfId="3282" xr:uid="{38FE07EF-F9EE-4490-958E-77EA644D58F5}"/>
    <cellStyle name="Bad 6_Trimestral" xfId="3277" xr:uid="{A6FDE1B0-F87F-439A-A6C5-5300C8ABC027}"/>
    <cellStyle name="Bad 7" xfId="1373" xr:uid="{12650467-0CB4-43D8-983E-7DB15894790C}"/>
    <cellStyle name="Bad 7 10" xfId="3284" xr:uid="{2E353445-3DAD-41F8-9EAC-F1418C5C8788}"/>
    <cellStyle name="Bad 7 11" xfId="3285" xr:uid="{2BFD03AA-DC86-4C91-A319-AAD257DBE676}"/>
    <cellStyle name="Bad 7 12" xfId="3286" xr:uid="{7EA8D4CA-6E2E-4DD6-8D1B-4D75FCAE8615}"/>
    <cellStyle name="Bad 7 2" xfId="1374" xr:uid="{62992305-D769-4995-9CE5-68C7B3B837F2}"/>
    <cellStyle name="Bad 7 3" xfId="1375" xr:uid="{C6B65F0C-590E-4640-9B5D-5E33EF29F8FE}"/>
    <cellStyle name="Bad 7 4" xfId="1376" xr:uid="{FC0C123C-3254-448F-8BAE-ED730C89CF87}"/>
    <cellStyle name="Bad 7 5" xfId="1377" xr:uid="{8AC1831A-8CE6-4557-A5C0-05F20B238A84}"/>
    <cellStyle name="Bad 7 6" xfId="1378" xr:uid="{45C43A97-6AD2-4E85-AD0E-77E8E04AFF66}"/>
    <cellStyle name="Bad 7 7" xfId="1379" xr:uid="{642F35B9-BA19-42D4-833C-30EF2733DED7}"/>
    <cellStyle name="Bad 7 8" xfId="3287" xr:uid="{C4913879-5A42-447F-9104-6A7376C0680B}"/>
    <cellStyle name="Bad 7 9" xfId="3288" xr:uid="{5FF659AF-BC3C-4181-B9D6-912067740868}"/>
    <cellStyle name="Bad 7_Trimestral" xfId="3283" xr:uid="{2ADD8BAF-1D42-4769-BBC0-01F1E385A67E}"/>
    <cellStyle name="Bad 8" xfId="1380" xr:uid="{6FDBD5E2-240B-4D30-B45B-CA53867D6C51}"/>
    <cellStyle name="Bad 8 10" xfId="3290" xr:uid="{30257BF6-338A-4CED-A126-130E51BFFFA3}"/>
    <cellStyle name="Bad 8 11" xfId="3291" xr:uid="{A96892F3-0D2B-40C4-BD40-AF4F5968969A}"/>
    <cellStyle name="Bad 8 12" xfId="3292" xr:uid="{D44ED0FC-6B80-40F8-B6DE-A9688A0FA2D2}"/>
    <cellStyle name="Bad 8 2" xfId="1381" xr:uid="{04702538-5B0C-489C-B8EA-83DAF8328695}"/>
    <cellStyle name="Bad 8 3" xfId="1382" xr:uid="{1DCE9E3F-18B2-4B2E-8FAA-852937B9D567}"/>
    <cellStyle name="Bad 8 4" xfId="1383" xr:uid="{52514FB8-CFEE-4622-9D0C-E48C856086EE}"/>
    <cellStyle name="Bad 8 5" xfId="1384" xr:uid="{88001591-2D51-4AE4-A2E8-00DF89C166CC}"/>
    <cellStyle name="Bad 8 6" xfId="1385" xr:uid="{D70F66C8-EDF3-4B2E-BB57-D0E09E70DD79}"/>
    <cellStyle name="Bad 8 7" xfId="1386" xr:uid="{6B004578-B3F0-49DE-A847-2CC8F2C0DE0E}"/>
    <cellStyle name="Bad 8 8" xfId="3293" xr:uid="{0262D6F4-3262-4709-BF9A-948B5D7266B4}"/>
    <cellStyle name="Bad 8 9" xfId="3294" xr:uid="{B2247F8F-27BE-48A2-9818-ADFE3A016C63}"/>
    <cellStyle name="Bad 8_Trimestral" xfId="3289" xr:uid="{6846C166-34C9-4BD2-A695-A8518D2ED99A}"/>
    <cellStyle name="Bad 9" xfId="3295" xr:uid="{29B91494-9A5B-48BC-9C36-24BE79C504E9}"/>
    <cellStyle name="Bold" xfId="20" xr:uid="{9D9CA383-F196-48EB-B72C-2706F5B658B0}"/>
    <cellStyle name="Bol-Data" xfId="21" xr:uid="{5A114D90-EC77-41D6-9BDB-B0399E86BA14}"/>
    <cellStyle name="BoldRight" xfId="22" xr:uid="{DC845F76-8ED0-4059-8124-83FDBB373392}"/>
    <cellStyle name="bolet" xfId="23" xr:uid="{96D4704E-AD5F-475B-B490-8DD21DAA74C7}"/>
    <cellStyle name="bolet 2" xfId="1387" xr:uid="{EE94A3C0-3E18-4FCD-B576-A20CEC476652}"/>
    <cellStyle name="bolet_Trimestral" xfId="3296" xr:uid="{858BCCC6-39DB-40E4-9D98-E8CE9CB43F84}"/>
    <cellStyle name="Boletim" xfId="24" xr:uid="{035923F3-4697-4A1C-806A-9F329F7A23F5}"/>
    <cellStyle name="Boletim 2" xfId="1388" xr:uid="{EC429422-A31A-4803-B1F4-09306768555E}"/>
    <cellStyle name="Boletim_Trimestral" xfId="3297" xr:uid="{45C2291B-8EFB-46EE-868B-2681435E5971}"/>
    <cellStyle name="Bom" xfId="1" xr:uid="{6E52D127-4551-48DC-BEBB-F02EC39C6C8F}"/>
    <cellStyle name="Cabe‡alho 1" xfId="3298" xr:uid="{864E7C2E-1FEB-420D-8CB2-129F27A7FD27}"/>
    <cellStyle name="Cabe‡alho 2" xfId="3299" xr:uid="{DBEB9746-A64D-4776-8D79-B21CD453D515}"/>
    <cellStyle name="Cabeçalho 1" xfId="3300" xr:uid="{02472219-50B1-4D3A-ABC1-BB90D3693139}"/>
    <cellStyle name="Cabeçalho 2" xfId="3301" xr:uid="{F0E3C7AF-C7A0-4948-81CE-B2B1B612C6B6}"/>
    <cellStyle name="Calculation" xfId="76" builtinId="22" customBuiltin="1"/>
    <cellStyle name="Calculation 2" xfId="1389" xr:uid="{E9F027EB-DD3E-42B2-A8AE-B158E062BA7E}"/>
    <cellStyle name="Calculation 2 10" xfId="3303" xr:uid="{3277BF75-E0C6-44F5-8A8F-558E3D88AC57}"/>
    <cellStyle name="Calculation 2 10 2" xfId="4225" xr:uid="{F69E32B7-99B3-41B4-B4BC-E4FD72B98F2D}"/>
    <cellStyle name="Calculation 2 10 2 2" xfId="4708" xr:uid="{F7A67CBF-4D84-4119-8487-26CB7887FC83}"/>
    <cellStyle name="Calculation 2 10 3" xfId="4577" xr:uid="{CD446039-DE83-472C-8A94-138C2D786FB1}"/>
    <cellStyle name="Calculation 2 11" xfId="3304" xr:uid="{9C5DDA2C-12C9-40E9-B5C4-08381120CD57}"/>
    <cellStyle name="Calculation 2 11 2" xfId="4226" xr:uid="{14AD431B-0E19-44A0-931E-6DB35CA727A4}"/>
    <cellStyle name="Calculation 2 11 2 2" xfId="4709" xr:uid="{19D33EAB-408E-4967-872A-69AF4804276B}"/>
    <cellStyle name="Calculation 2 11 3" xfId="4578" xr:uid="{9CE14534-B842-4099-ABE5-4F6B66EA214C}"/>
    <cellStyle name="Calculation 2 12" xfId="3305" xr:uid="{2C54C673-5F2D-4542-BE4A-5F65AF20B7C2}"/>
    <cellStyle name="Calculation 2 12 2" xfId="4227" xr:uid="{96F88B8D-7F0F-4B34-9F0A-4AEBC4A5BBEC}"/>
    <cellStyle name="Calculation 2 12 2 2" xfId="4710" xr:uid="{B83EF4C7-9FB2-4DA6-B103-43B3C0039CE1}"/>
    <cellStyle name="Calculation 2 12 3" xfId="4579" xr:uid="{0CE67383-F65C-424E-9F3A-70979B2B1256}"/>
    <cellStyle name="Calculation 2 2" xfId="1390" xr:uid="{C70152EB-2471-4BB6-AC70-7A5134A26795}"/>
    <cellStyle name="Calculation 2 3" xfId="1391" xr:uid="{F45F0C06-1EE1-4E64-83C6-CCE832E0B470}"/>
    <cellStyle name="Calculation 2 4" xfId="1392" xr:uid="{2E29A432-6C42-416B-A3DA-04FB29F2DB91}"/>
    <cellStyle name="Calculation 2 5" xfId="1393" xr:uid="{34253D29-4AC1-4089-8F31-E9BD0193BD09}"/>
    <cellStyle name="Calculation 2 6" xfId="1394" xr:uid="{1402E8F6-8D6A-4C13-8861-37BE2393B3BA}"/>
    <cellStyle name="Calculation 2 7" xfId="1395" xr:uid="{6B7BDD23-74B3-49CB-A94B-355B1B946901}"/>
    <cellStyle name="Calculation 2 8" xfId="3306" xr:uid="{B24CB814-9E58-4B5D-90A8-E307E3FCD7ED}"/>
    <cellStyle name="Calculation 2 8 2" xfId="4228" xr:uid="{6FEDBBBF-8785-4747-BE4B-9EC55A37AF44}"/>
    <cellStyle name="Calculation 2 8 2 2" xfId="4711" xr:uid="{1A8FDBD2-7CA7-4DF1-9D93-2AF2A8374023}"/>
    <cellStyle name="Calculation 2 8 3" xfId="4580" xr:uid="{84EE931F-C222-4511-838B-ACFDFEBDDA86}"/>
    <cellStyle name="Calculation 2 9" xfId="3307" xr:uid="{825D5914-9211-45DC-B39B-E32126FC3296}"/>
    <cellStyle name="Calculation 2 9 2" xfId="4229" xr:uid="{5B282B5F-B1EF-4268-9696-F7173BDF388A}"/>
    <cellStyle name="Calculation 2 9 2 2" xfId="4712" xr:uid="{275BD4A4-94CE-4A60-BEA7-A0A60CCB986C}"/>
    <cellStyle name="Calculation 2 9 3" xfId="4581" xr:uid="{6D784CCD-4BCC-4FFF-BF46-F1FEE0EC506B}"/>
    <cellStyle name="Calculation 2_Trimestral" xfId="3302" xr:uid="{B00B204F-8090-453C-989E-9E31920761E5}"/>
    <cellStyle name="Calculation 3" xfId="1396" xr:uid="{B5481350-C814-4D45-9C6D-0917442E5773}"/>
    <cellStyle name="Calculation 3 10" xfId="3309" xr:uid="{E7F77CAB-FC96-47B4-9856-3611292E01B1}"/>
    <cellStyle name="Calculation 3 10 2" xfId="4230" xr:uid="{A24C6716-FCEE-4320-B353-71293A531303}"/>
    <cellStyle name="Calculation 3 10 2 2" xfId="4713" xr:uid="{EDD3B19C-270D-4231-83EF-7C8F3F4CE948}"/>
    <cellStyle name="Calculation 3 10 3" xfId="4582" xr:uid="{7F73E8AE-D24A-417C-8566-74991FAB75B5}"/>
    <cellStyle name="Calculation 3 11" xfId="3310" xr:uid="{F5820847-AF23-41BD-B088-6F16E1803F80}"/>
    <cellStyle name="Calculation 3 11 2" xfId="4231" xr:uid="{E3DB408F-CFC0-4ED9-B484-5269B754633F}"/>
    <cellStyle name="Calculation 3 11 2 2" xfId="4714" xr:uid="{C3AB2006-07FF-4F7A-B968-F2EC060389B6}"/>
    <cellStyle name="Calculation 3 11 3" xfId="4583" xr:uid="{B37A9128-2BD2-428D-859E-7EAB6B293338}"/>
    <cellStyle name="Calculation 3 12" xfId="3311" xr:uid="{FDCDC0D3-7BBE-4CEC-A5DC-D4CFCEBC0EA2}"/>
    <cellStyle name="Calculation 3 12 2" xfId="4232" xr:uid="{B22E7E51-4B47-494A-A683-0BE191ABB773}"/>
    <cellStyle name="Calculation 3 12 2 2" xfId="4715" xr:uid="{927CE1B3-17E6-4546-87DC-BA7C47743325}"/>
    <cellStyle name="Calculation 3 12 3" xfId="4584" xr:uid="{9355D40D-9F24-4355-B8E8-0C95E3518074}"/>
    <cellStyle name="Calculation 3 2" xfId="1397" xr:uid="{22C93759-D7DB-48D8-8042-FEFCCB76EEBD}"/>
    <cellStyle name="Calculation 3 3" xfId="1398" xr:uid="{2BFA2D20-C102-437C-B7D0-FEA962B26533}"/>
    <cellStyle name="Calculation 3 4" xfId="1399" xr:uid="{00D92E5A-F5F5-469C-9684-6EAC11745946}"/>
    <cellStyle name="Calculation 3 5" xfId="1400" xr:uid="{835685BE-A6FD-4C4D-920B-F5F7B0FF1956}"/>
    <cellStyle name="Calculation 3 6" xfId="1401" xr:uid="{653D3ED0-F0B1-4FE2-ABB5-236979B58D31}"/>
    <cellStyle name="Calculation 3 7" xfId="1402" xr:uid="{34BA723E-1352-4B5B-B44A-AFC7D0D758DF}"/>
    <cellStyle name="Calculation 3 8" xfId="3312" xr:uid="{CEB85560-AD63-4B9C-BB9E-F511A1643EFF}"/>
    <cellStyle name="Calculation 3 8 2" xfId="4233" xr:uid="{BAD85FEA-7D8B-4123-9F93-7C100F5505B7}"/>
    <cellStyle name="Calculation 3 8 2 2" xfId="4716" xr:uid="{77181F7E-DCE9-46E3-9F81-7EDFDD097205}"/>
    <cellStyle name="Calculation 3 8 3" xfId="4585" xr:uid="{8CC5BB57-F94A-4F81-89E4-10A3AB75E16F}"/>
    <cellStyle name="Calculation 3 9" xfId="3313" xr:uid="{FA5F2A07-C116-4A7D-B04F-9EC9949BE785}"/>
    <cellStyle name="Calculation 3 9 2" xfId="4234" xr:uid="{C2C7F6C0-15A7-4711-B76D-68880B9C215B}"/>
    <cellStyle name="Calculation 3 9 2 2" xfId="4717" xr:uid="{87706B59-B7CC-441A-A4E8-0B55FEC6C649}"/>
    <cellStyle name="Calculation 3 9 3" xfId="4586" xr:uid="{A109F501-11A3-40DE-95B6-446888097062}"/>
    <cellStyle name="Calculation 3_Trimestral" xfId="3308" xr:uid="{AB1A2B55-B8D7-4D4D-8AC7-0EBE7DEB224F}"/>
    <cellStyle name="Calculation 4" xfId="1403" xr:uid="{45016AAA-44A1-4FD2-B824-65B5E47F32CB}"/>
    <cellStyle name="Calculation 4 10" xfId="3315" xr:uid="{785C4794-18D8-4788-980C-D312569729F6}"/>
    <cellStyle name="Calculation 4 10 2" xfId="4235" xr:uid="{F0078A7B-9E24-4E2E-ABCA-4D58AC3286A9}"/>
    <cellStyle name="Calculation 4 10 2 2" xfId="4718" xr:uid="{99C7846A-D9DF-4E85-BE1F-2AA567BDD6CE}"/>
    <cellStyle name="Calculation 4 10 3" xfId="4587" xr:uid="{FA39E919-F679-40E1-8F3F-07F0D874F85C}"/>
    <cellStyle name="Calculation 4 11" xfId="3316" xr:uid="{5BB0C0D0-A47A-4E2C-BA3F-A8E6ACCB7B60}"/>
    <cellStyle name="Calculation 4 11 2" xfId="4236" xr:uid="{624D0468-9132-4906-9180-3FB5A97597C9}"/>
    <cellStyle name="Calculation 4 11 2 2" xfId="4719" xr:uid="{4427F438-4DF7-449B-8FAF-A2784BF87243}"/>
    <cellStyle name="Calculation 4 11 3" xfId="4588" xr:uid="{3AAEE595-4817-490D-A03E-39BF6D010FE5}"/>
    <cellStyle name="Calculation 4 12" xfId="3317" xr:uid="{60DA1EF4-9A8C-4C6F-A677-0485F4CE1A2F}"/>
    <cellStyle name="Calculation 4 12 2" xfId="4237" xr:uid="{A0B60242-CF46-4E1C-9C0C-5ABFD5408FC9}"/>
    <cellStyle name="Calculation 4 12 2 2" xfId="4720" xr:uid="{91A5DBDF-2CBA-44C5-BEBB-B6F39B10141B}"/>
    <cellStyle name="Calculation 4 12 3" xfId="4589" xr:uid="{A74A881E-ED98-467E-BFE0-33E7ACB3339A}"/>
    <cellStyle name="Calculation 4 2" xfId="1404" xr:uid="{7FCBF3E2-A010-474B-ADC3-CAF060373C64}"/>
    <cellStyle name="Calculation 4 3" xfId="1405" xr:uid="{C0CF5D58-FEF8-4E8E-8195-031A21CB474E}"/>
    <cellStyle name="Calculation 4 4" xfId="1406" xr:uid="{35077978-02F5-4F0F-97E0-5489B1F76BF2}"/>
    <cellStyle name="Calculation 4 5" xfId="1407" xr:uid="{C7989338-44E0-4591-9F22-79DA8A7C471A}"/>
    <cellStyle name="Calculation 4 6" xfId="1408" xr:uid="{C9E7BA1A-305C-43BA-9BFD-09AC028BF97A}"/>
    <cellStyle name="Calculation 4 7" xfId="1409" xr:uid="{6B047034-0AB4-4118-99DB-42BA43C7A679}"/>
    <cellStyle name="Calculation 4 8" xfId="3318" xr:uid="{A6398CBE-DCF2-424F-81B6-9FDF9DCDA428}"/>
    <cellStyle name="Calculation 4 8 2" xfId="4238" xr:uid="{E6DD0EB2-EC2A-4AD3-AA52-E72CE53325DC}"/>
    <cellStyle name="Calculation 4 8 2 2" xfId="4721" xr:uid="{36EA4E92-03E0-4ED4-86A5-C7C0F10B4424}"/>
    <cellStyle name="Calculation 4 8 3" xfId="4590" xr:uid="{9EAA00EA-238B-46E6-9610-78F2589ABB09}"/>
    <cellStyle name="Calculation 4 9" xfId="3319" xr:uid="{640E4185-51AA-4EC5-9A92-D03F8D5F507C}"/>
    <cellStyle name="Calculation 4 9 2" xfId="4239" xr:uid="{6C08FEEA-9816-4275-9416-C653033C4039}"/>
    <cellStyle name="Calculation 4 9 2 2" xfId="4722" xr:uid="{16B84776-58B4-48D8-9F5A-1FED373BA4B1}"/>
    <cellStyle name="Calculation 4 9 3" xfId="4591" xr:uid="{210C5794-9D56-4819-B08B-4D5D02884CB4}"/>
    <cellStyle name="Calculation 4_Trimestral" xfId="3314" xr:uid="{4A34587E-BA2C-4D7A-8D46-C258B5349312}"/>
    <cellStyle name="Calculation 5" xfId="1410" xr:uid="{E26B0784-3C0D-4875-84BC-8E08B9EC8B7B}"/>
    <cellStyle name="Calculation 5 10" xfId="3321" xr:uid="{D92C7415-7C8F-4ACF-A824-327F162FAD4E}"/>
    <cellStyle name="Calculation 5 10 2" xfId="4240" xr:uid="{990AE2FC-06E9-4381-8906-AC811207CAFE}"/>
    <cellStyle name="Calculation 5 10 2 2" xfId="4723" xr:uid="{9ED1BEF7-FF52-41E0-BD4D-D8B9E5D82B9F}"/>
    <cellStyle name="Calculation 5 10 3" xfId="4592" xr:uid="{DFDDF00F-8EA6-4F77-B00C-4E4472F259E0}"/>
    <cellStyle name="Calculation 5 11" xfId="3322" xr:uid="{B7ABDDD6-172C-40B4-87EF-4F92905C18EA}"/>
    <cellStyle name="Calculation 5 11 2" xfId="4241" xr:uid="{8E131F99-E7B4-47D5-A68D-35151E1EA0E0}"/>
    <cellStyle name="Calculation 5 11 2 2" xfId="4724" xr:uid="{7C56B880-14D0-49F9-A231-0C6702877B80}"/>
    <cellStyle name="Calculation 5 11 3" xfId="4593" xr:uid="{D6DF01BE-A8EE-4724-AEDC-39EF457BB0EB}"/>
    <cellStyle name="Calculation 5 12" xfId="3323" xr:uid="{48926A34-1042-4A2E-A2E3-A54C39ABA766}"/>
    <cellStyle name="Calculation 5 12 2" xfId="4242" xr:uid="{F66F8133-AFFC-47AC-91A4-DDB976EDE46F}"/>
    <cellStyle name="Calculation 5 12 2 2" xfId="4725" xr:uid="{404B3F65-B27E-4191-8FF0-500DFA0FC896}"/>
    <cellStyle name="Calculation 5 12 3" xfId="4594" xr:uid="{14821D8B-3051-4E8D-9E20-3E198FD4E7E4}"/>
    <cellStyle name="Calculation 5 2" xfId="1411" xr:uid="{F1698834-C78F-476B-9786-B18C1EF0F8FB}"/>
    <cellStyle name="Calculation 5 3" xfId="1412" xr:uid="{A5253954-0A8E-4619-B333-ECDA2956788F}"/>
    <cellStyle name="Calculation 5 4" xfId="1413" xr:uid="{181FA31A-4268-4C4C-86BC-5C366FB94A7B}"/>
    <cellStyle name="Calculation 5 5" xfId="1414" xr:uid="{0AF544F1-4A07-4849-9083-A0798A3BD1EA}"/>
    <cellStyle name="Calculation 5 6" xfId="1415" xr:uid="{DF13D83D-9AC0-4BCA-8B7D-F861F9C1E666}"/>
    <cellStyle name="Calculation 5 7" xfId="1416" xr:uid="{66283983-1195-4957-9474-C570D0E41CF6}"/>
    <cellStyle name="Calculation 5 8" xfId="3324" xr:uid="{9FD549CA-C3B8-4212-9A18-E9B12D2EE11E}"/>
    <cellStyle name="Calculation 5 8 2" xfId="4243" xr:uid="{D2B95B6D-A508-4F33-866B-B4BABE59934A}"/>
    <cellStyle name="Calculation 5 8 2 2" xfId="4726" xr:uid="{655CE636-E907-4A42-8C55-CF47094C38D8}"/>
    <cellStyle name="Calculation 5 8 3" xfId="4595" xr:uid="{431A9F6F-1348-4095-BA5B-B2BB03D0662F}"/>
    <cellStyle name="Calculation 5 9" xfId="3325" xr:uid="{D1821BF6-818F-4A1F-B2E9-AD3F6C0E5EB9}"/>
    <cellStyle name="Calculation 5 9 2" xfId="4244" xr:uid="{E498CC25-55A1-4346-AE2D-0F901083651E}"/>
    <cellStyle name="Calculation 5 9 2 2" xfId="4727" xr:uid="{5DA73883-CEA5-4B5A-842C-B9BCCA58DFE4}"/>
    <cellStyle name="Calculation 5 9 3" xfId="4596" xr:uid="{F5E0E3EC-143F-43D2-AE31-CC7F61A321AF}"/>
    <cellStyle name="Calculation 5_Trimestral" xfId="3320" xr:uid="{9BA539D9-6DCB-4C9B-8CC2-3CCDD934AB11}"/>
    <cellStyle name="Calculation 6" xfId="1417" xr:uid="{DBBD1243-15D3-4BBE-A01A-3E9FDDAAC783}"/>
    <cellStyle name="Calculation 6 10" xfId="3327" xr:uid="{A7634900-6681-4CCD-85E8-BF1D96C6723B}"/>
    <cellStyle name="Calculation 6 10 2" xfId="4245" xr:uid="{43185529-6E08-48E0-B923-DBE1687D14EA}"/>
    <cellStyle name="Calculation 6 10 2 2" xfId="4728" xr:uid="{9C044344-876A-4C5E-9451-1FF76AA55FCF}"/>
    <cellStyle name="Calculation 6 10 3" xfId="4597" xr:uid="{6E7187C6-FD69-48EB-A93C-4199C481117F}"/>
    <cellStyle name="Calculation 6 11" xfId="3328" xr:uid="{E524F362-16FB-41B1-9414-A5B9CD1800BC}"/>
    <cellStyle name="Calculation 6 11 2" xfId="4246" xr:uid="{0E05CD57-A389-48C1-B172-E3FD17F50091}"/>
    <cellStyle name="Calculation 6 11 2 2" xfId="4729" xr:uid="{3BB896E3-8337-4507-87B0-F67F2CB9A69F}"/>
    <cellStyle name="Calculation 6 11 3" xfId="4598" xr:uid="{326EEAB0-47B4-41CA-8960-F39AF9C26904}"/>
    <cellStyle name="Calculation 6 12" xfId="3329" xr:uid="{DDF7E8BA-973F-4A32-B673-CBA4E8A2ADDD}"/>
    <cellStyle name="Calculation 6 12 2" xfId="4247" xr:uid="{63D8A1E3-F7E2-4285-BA51-ACE58BE1572B}"/>
    <cellStyle name="Calculation 6 12 2 2" xfId="4730" xr:uid="{4555D7F9-FCA1-4C85-8DA5-164F836DD4BE}"/>
    <cellStyle name="Calculation 6 12 3" xfId="4599" xr:uid="{0EAF3DD1-A7F1-43BD-981E-896B4971FCEE}"/>
    <cellStyle name="Calculation 6 2" xfId="1418" xr:uid="{94144982-718F-4A8D-AEAA-602B2B6B35D5}"/>
    <cellStyle name="Calculation 6 3" xfId="1419" xr:uid="{F0AC8A11-9A5C-4A02-88A8-D1A11E559C94}"/>
    <cellStyle name="Calculation 6 4" xfId="1420" xr:uid="{5DC1DF0C-803E-455C-8698-CBEE898CEB6D}"/>
    <cellStyle name="Calculation 6 5" xfId="1421" xr:uid="{3CB06ECD-7D31-4B49-834E-16B2FBCB6D15}"/>
    <cellStyle name="Calculation 6 6" xfId="1422" xr:uid="{784C707F-8ADF-43F8-9209-DA68D1968B7C}"/>
    <cellStyle name="Calculation 6 7" xfId="1423" xr:uid="{B7CC1A7D-546E-4A78-A6B0-AEF889EDAD8D}"/>
    <cellStyle name="Calculation 6 8" xfId="3330" xr:uid="{B51F5FB3-B2EC-4C03-A729-3CCD90044558}"/>
    <cellStyle name="Calculation 6 8 2" xfId="4248" xr:uid="{D38427CA-2E7F-46EC-9FB0-6EBFF9AEA6F8}"/>
    <cellStyle name="Calculation 6 8 2 2" xfId="4731" xr:uid="{3BE6F756-44AB-45F0-B8BC-DB152594CDA3}"/>
    <cellStyle name="Calculation 6 8 3" xfId="4600" xr:uid="{7DBADC10-6EA6-404B-B585-C53455BD91DA}"/>
    <cellStyle name="Calculation 6 9" xfId="3331" xr:uid="{B9BC77AB-3BAC-41D9-B939-5CC581FBA316}"/>
    <cellStyle name="Calculation 6 9 2" xfId="4249" xr:uid="{7FD8579C-FB73-4C09-9C23-56FEE079F5EA}"/>
    <cellStyle name="Calculation 6 9 2 2" xfId="4732" xr:uid="{B637E389-1057-496E-9EC8-220C6D6FAD9C}"/>
    <cellStyle name="Calculation 6 9 3" xfId="4601" xr:uid="{CABF133A-644E-47E7-A555-DDB5673577F2}"/>
    <cellStyle name="Calculation 6_Trimestral" xfId="3326" xr:uid="{A00FA13B-10F1-4BCB-8F03-9E30A2ED1228}"/>
    <cellStyle name="Calculation 7" xfId="1424" xr:uid="{B29EFC50-C895-40FB-904C-D34037FF3378}"/>
    <cellStyle name="Calculation 7 10" xfId="3333" xr:uid="{B0745E3F-9E71-479A-8EE1-127A86040BD8}"/>
    <cellStyle name="Calculation 7 10 2" xfId="4250" xr:uid="{B3F18C1D-5E4F-4E02-96FB-590658D14B6D}"/>
    <cellStyle name="Calculation 7 10 2 2" xfId="4733" xr:uid="{2EE34B71-C283-4423-862A-6160D48B9DEF}"/>
    <cellStyle name="Calculation 7 10 3" xfId="4602" xr:uid="{27846740-5CAA-4A15-B060-737E32CC6712}"/>
    <cellStyle name="Calculation 7 11" xfId="3334" xr:uid="{81CAF110-9D3F-412E-8153-0CFD8A2A99DB}"/>
    <cellStyle name="Calculation 7 11 2" xfId="4251" xr:uid="{53E52847-8FA4-428F-BE24-644108EF171A}"/>
    <cellStyle name="Calculation 7 11 2 2" xfId="4734" xr:uid="{12274B83-285A-44D6-8A2A-9AF1D2C90E35}"/>
    <cellStyle name="Calculation 7 11 3" xfId="4603" xr:uid="{37906C07-91FC-4766-BC48-48CE3664A0C8}"/>
    <cellStyle name="Calculation 7 12" xfId="3335" xr:uid="{1194C1F1-6B47-48C2-9FA2-AEB062253E39}"/>
    <cellStyle name="Calculation 7 12 2" xfId="4252" xr:uid="{66841A1A-2D5C-4703-9BAB-F1419749865C}"/>
    <cellStyle name="Calculation 7 12 2 2" xfId="4735" xr:uid="{DA1E918C-698D-406F-8D80-E918DDF55E7E}"/>
    <cellStyle name="Calculation 7 12 3" xfId="4604" xr:uid="{2C16AEF5-946C-4A57-BBEB-B03FC217DD89}"/>
    <cellStyle name="Calculation 7 2" xfId="1425" xr:uid="{701B6419-8AD6-4563-A160-EEE589BA34E4}"/>
    <cellStyle name="Calculation 7 3" xfId="1426" xr:uid="{9E860022-2D4F-4BAA-AA92-E0BAA5D77FBB}"/>
    <cellStyle name="Calculation 7 4" xfId="1427" xr:uid="{F62F5560-F98B-4B9C-8C99-7A79FD24B1BE}"/>
    <cellStyle name="Calculation 7 5" xfId="1428" xr:uid="{AF795611-9A45-4553-AB2E-BD7BE52DE3CB}"/>
    <cellStyle name="Calculation 7 6" xfId="1429" xr:uid="{37EEC113-DD97-4F9F-8CFA-12542B3BC092}"/>
    <cellStyle name="Calculation 7 7" xfId="1430" xr:uid="{6546A923-1582-4D3F-B56D-8C78575184E0}"/>
    <cellStyle name="Calculation 7 8" xfId="3336" xr:uid="{F9A10D6A-97CC-46D6-956F-D50829351393}"/>
    <cellStyle name="Calculation 7 8 2" xfId="4253" xr:uid="{CC65BA14-C406-430C-A85C-863D99FFDA09}"/>
    <cellStyle name="Calculation 7 8 2 2" xfId="4736" xr:uid="{94522DD7-7EB1-4B9B-960F-C62D112ECE2A}"/>
    <cellStyle name="Calculation 7 8 3" xfId="4605" xr:uid="{F03BEB84-9700-4C2C-BC75-ACD4A64B5024}"/>
    <cellStyle name="Calculation 7 9" xfId="3337" xr:uid="{EB801B5C-7BE3-4BA0-BBB7-1F8E59AB259A}"/>
    <cellStyle name="Calculation 7 9 2" xfId="4254" xr:uid="{236628E3-AED4-4759-9833-E879ACC29D68}"/>
    <cellStyle name="Calculation 7 9 2 2" xfId="4737" xr:uid="{B8876F57-86CF-4EA3-BA1B-3DCA03F649FD}"/>
    <cellStyle name="Calculation 7 9 3" xfId="4606" xr:uid="{1FFB572A-DFF4-46E8-8019-D2E290FAD54B}"/>
    <cellStyle name="Calculation 7_Trimestral" xfId="3332" xr:uid="{AD24CD93-96FC-4DDE-9FB7-C13BAEC5A3A8}"/>
    <cellStyle name="Calculation 8" xfId="1431" xr:uid="{8BA436E6-B855-4DAC-9CBA-0B0269E6C878}"/>
    <cellStyle name="Calculation 8 10" xfId="3339" xr:uid="{DA81C5CF-A768-41D6-AEC0-C68E158CFB84}"/>
    <cellStyle name="Calculation 8 10 2" xfId="4255" xr:uid="{4247BEB7-E6AD-4A88-BB98-833EB8B51397}"/>
    <cellStyle name="Calculation 8 10 2 2" xfId="4738" xr:uid="{827FCA15-E0BE-4092-ABC0-1B8D178A6093}"/>
    <cellStyle name="Calculation 8 10 3" xfId="4607" xr:uid="{4126A212-3E9D-4843-BF5B-1AF2A97A5984}"/>
    <cellStyle name="Calculation 8 11" xfId="3340" xr:uid="{A13596BE-4A2C-4C3A-A387-DF82A79BCBEE}"/>
    <cellStyle name="Calculation 8 11 2" xfId="4256" xr:uid="{CBD28016-6662-46DA-9B41-6163C93B425E}"/>
    <cellStyle name="Calculation 8 11 2 2" xfId="4739" xr:uid="{448FAF36-72CB-463F-B536-13F2058EFF91}"/>
    <cellStyle name="Calculation 8 11 3" xfId="4608" xr:uid="{27ACF392-E541-4E41-8771-CC52CAF617AA}"/>
    <cellStyle name="Calculation 8 12" xfId="3341" xr:uid="{01D6F7A7-B42B-4190-B78D-262A63E2BE59}"/>
    <cellStyle name="Calculation 8 12 2" xfId="4257" xr:uid="{7E78AA79-879D-469D-859E-8FB893EBBA90}"/>
    <cellStyle name="Calculation 8 12 2 2" xfId="4740" xr:uid="{6971E6E1-8723-48A5-BC40-6B74BFE72CCF}"/>
    <cellStyle name="Calculation 8 12 3" xfId="4609" xr:uid="{ADBE7242-1F2F-4AF7-8C7B-B86C891512CE}"/>
    <cellStyle name="Calculation 8 2" xfId="1432" xr:uid="{D1084F2D-E8E2-45FC-BE02-2A4229C306B7}"/>
    <cellStyle name="Calculation 8 3" xfId="1433" xr:uid="{5DDFE0D4-3A74-4623-8CCA-7BE8821922D8}"/>
    <cellStyle name="Calculation 8 4" xfId="1434" xr:uid="{36EE57D4-7EE8-4E49-A26A-45247BB76F73}"/>
    <cellStyle name="Calculation 8 5" xfId="1435" xr:uid="{46540538-6CF4-4BA0-928B-C9F8AA5EBB6D}"/>
    <cellStyle name="Calculation 8 6" xfId="1436" xr:uid="{41BB407C-9361-4B71-A1FE-0DD42913FF06}"/>
    <cellStyle name="Calculation 8 7" xfId="1437" xr:uid="{1E425C50-CEC3-4CA8-B7BF-33AA445E7E1D}"/>
    <cellStyle name="Calculation 8 8" xfId="3342" xr:uid="{764FFD68-D53F-49BF-B6EE-C2E252D4720C}"/>
    <cellStyle name="Calculation 8 8 2" xfId="4258" xr:uid="{E9516DC7-BF04-48D4-9568-46EE2ED5893E}"/>
    <cellStyle name="Calculation 8 8 2 2" xfId="4741" xr:uid="{6318A5B4-78A7-4B7F-8C94-30A82D90DFF2}"/>
    <cellStyle name="Calculation 8 8 3" xfId="4610" xr:uid="{75E0D0C6-884A-4F79-93A3-B31B207E8281}"/>
    <cellStyle name="Calculation 8 9" xfId="3343" xr:uid="{C03FEF4C-37F0-46EB-B941-1C962FBE0E59}"/>
    <cellStyle name="Calculation 8 9 2" xfId="4259" xr:uid="{14444649-4067-46C8-A8DC-98D8623424D8}"/>
    <cellStyle name="Calculation 8 9 2 2" xfId="4742" xr:uid="{1F28E543-00EF-4C30-89B7-3F7FFAA46C0A}"/>
    <cellStyle name="Calculation 8 9 3" xfId="4611" xr:uid="{57077D67-2A8F-42C9-B561-3773B0983F2A}"/>
    <cellStyle name="Calculation 8_Trimestral" xfId="3338" xr:uid="{5498AC13-1222-4BA7-A648-E0CE6D58EBA1}"/>
    <cellStyle name="Calculation 9" xfId="3344" xr:uid="{45363C2D-D357-42C3-A87C-740DB3E02F62}"/>
    <cellStyle name="Calculation 9 2" xfId="4260" xr:uid="{81F669B7-A9B0-4642-B2FD-73A50AC35952}"/>
    <cellStyle name="Calculation 9 2 2" xfId="4743" xr:uid="{D53D352D-6A6A-40E5-A991-F971F72351A3}"/>
    <cellStyle name="Calculation 9 3" xfId="4612" xr:uid="{1883D823-4BE3-4B88-8FA1-5AA4D3FCEC21}"/>
    <cellStyle name="Cálculo 2" xfId="4090" xr:uid="{AFF5EB8D-3323-4B10-9748-A2E5F5C6D4EA}"/>
    <cellStyle name="Cálculo 2 2" xfId="4660" xr:uid="{814C6F60-888B-4C9E-9D35-E8BEA38AB91A}"/>
    <cellStyle name="Cálculo 3" xfId="4378" xr:uid="{C1901E80-E843-4EE1-83C9-F11174F0AF4A}"/>
    <cellStyle name="Capítulo" xfId="3345" xr:uid="{55D3A627-D976-46F8-BA1D-6F4649688461}"/>
    <cellStyle name="Célula de Verificação" xfId="6" xr:uid="{35458FE8-E70F-4508-ABDC-7452F3A8F087}"/>
    <cellStyle name="Célula Vinculada" xfId="5" xr:uid="{121048D4-2A53-459D-9962-799212E6A165}"/>
    <cellStyle name="Check Cell 10" xfId="3346" xr:uid="{E80B3CDB-F1B9-48D3-8137-5711C12FA494}"/>
    <cellStyle name="Check Cell 2" xfId="1438" xr:uid="{F64ED29A-2832-43CA-B906-380BC09E6EB9}"/>
    <cellStyle name="Check Cell 2 10" xfId="3348" xr:uid="{E0DD7AEB-B142-491B-9801-18DCA4F2F032}"/>
    <cellStyle name="Check Cell 2 11" xfId="3349" xr:uid="{82A80CAC-3044-4C5F-8851-29876D9ECAAF}"/>
    <cellStyle name="Check Cell 2 12" xfId="3350" xr:uid="{57CC64C9-E954-4384-A1C3-25343248A3E1}"/>
    <cellStyle name="Check Cell 2 2" xfId="1439" xr:uid="{D399CFAB-6E7C-4535-99F3-7B95727DA0BA}"/>
    <cellStyle name="Check Cell 2 3" xfId="1440" xr:uid="{0D9CE845-3A2B-4A19-97AB-D7238C82427E}"/>
    <cellStyle name="Check Cell 2 4" xfId="1441" xr:uid="{FCBD2B5E-AC53-4DCD-BF7D-8C1083D7A769}"/>
    <cellStyle name="Check Cell 2 5" xfId="1442" xr:uid="{80C2C3F2-C7E1-40EB-8312-384D697DEABB}"/>
    <cellStyle name="Check Cell 2 6" xfId="1443" xr:uid="{9CAF48FB-CF65-427E-B0EE-3D8699F415AA}"/>
    <cellStyle name="Check Cell 2 7" xfId="1444" xr:uid="{EA144294-8AE3-4EAC-AA64-354615CA68D9}"/>
    <cellStyle name="Check Cell 2 8" xfId="3351" xr:uid="{A483FBD2-3BA7-4B5B-8709-D920D0129AC4}"/>
    <cellStyle name="Check Cell 2 9" xfId="3352" xr:uid="{B1D32990-9F00-4A22-A0F6-28BC881E4AF5}"/>
    <cellStyle name="Check Cell 2_Trimestral" xfId="3347" xr:uid="{6CE66E4C-104A-4D80-B6F5-9D7606D146A4}"/>
    <cellStyle name="Check Cell 3" xfId="1445" xr:uid="{FBEEAD29-B709-4857-AF16-F47479A93464}"/>
    <cellStyle name="Check Cell 3 10" xfId="3354" xr:uid="{65C90AE6-1DD7-47A5-B70A-D2C5EFD52CD5}"/>
    <cellStyle name="Check Cell 3 11" xfId="3355" xr:uid="{5CAD2B51-B9A9-43FF-951C-363ECF36A784}"/>
    <cellStyle name="Check Cell 3 12" xfId="3356" xr:uid="{ADD190CA-C2F9-4D1B-821D-76F1B4F60C93}"/>
    <cellStyle name="Check Cell 3 2" xfId="1446" xr:uid="{93478198-166B-49DC-A02C-2599446AC3F3}"/>
    <cellStyle name="Check Cell 3 3" xfId="1447" xr:uid="{EF2674A1-1994-4B23-98BD-0073DF3D4DA4}"/>
    <cellStyle name="Check Cell 3 4" xfId="1448" xr:uid="{A3BEFD0A-FC06-4CD9-96C4-A092C65849B5}"/>
    <cellStyle name="Check Cell 3 5" xfId="1449" xr:uid="{5392E0D8-BCB0-48E4-AF8E-FDCCCB0B489E}"/>
    <cellStyle name="Check Cell 3 6" xfId="1450" xr:uid="{65702398-3638-40BA-B05B-A89258EEE312}"/>
    <cellStyle name="Check Cell 3 7" xfId="1451" xr:uid="{D5D6DC35-3ACD-46B1-8841-7E78521BDA59}"/>
    <cellStyle name="Check Cell 3 8" xfId="3357" xr:uid="{300E320C-ED50-4B67-8687-2033AF386F4F}"/>
    <cellStyle name="Check Cell 3 9" xfId="3358" xr:uid="{3D181B62-7990-429F-8AAC-006598390354}"/>
    <cellStyle name="Check Cell 3_Trimestral" xfId="3353" xr:uid="{A9FB0D09-7D41-4DFF-9596-995052E567EB}"/>
    <cellStyle name="Check Cell 4" xfId="1452" xr:uid="{58EF6F5C-EDC1-4FC1-8AFC-B98D1FF64169}"/>
    <cellStyle name="Check Cell 4 10" xfId="3360" xr:uid="{4F7F6536-14BA-4612-B1B0-E326B05441FE}"/>
    <cellStyle name="Check Cell 4 11" xfId="3361" xr:uid="{5E738551-E20F-4428-A3CF-D8A31B7C7A11}"/>
    <cellStyle name="Check Cell 4 12" xfId="3362" xr:uid="{BCCD1E23-8406-46D9-99AE-9AB65A3F5F00}"/>
    <cellStyle name="Check Cell 4 2" xfId="1453" xr:uid="{D51E1E67-6581-446E-A82E-242838846009}"/>
    <cellStyle name="Check Cell 4 3" xfId="1454" xr:uid="{C3B23897-8B0C-4026-A9FD-CA3C0BC62C7F}"/>
    <cellStyle name="Check Cell 4 4" xfId="1455" xr:uid="{4EFAAA4A-6335-451E-AD81-FB9DA32A653E}"/>
    <cellStyle name="Check Cell 4 5" xfId="1456" xr:uid="{3D3DFFFA-70A4-4135-8EA2-C7F4915374A6}"/>
    <cellStyle name="Check Cell 4 6" xfId="1457" xr:uid="{A8B55D91-5761-40E3-A968-DB8910E51319}"/>
    <cellStyle name="Check Cell 4 7" xfId="1458" xr:uid="{5466976C-0A98-47AB-BBEF-AA09444A9909}"/>
    <cellStyle name="Check Cell 4 8" xfId="3363" xr:uid="{157569A8-9E79-4D5C-AB21-8EC8176129A0}"/>
    <cellStyle name="Check Cell 4 9" xfId="3364" xr:uid="{67970964-43F6-4788-8CEE-7FC64BC019FE}"/>
    <cellStyle name="Check Cell 4_Trimestral" xfId="3359" xr:uid="{AB70CA78-C4E0-4CDB-83FF-F40C3A26D745}"/>
    <cellStyle name="Check Cell 5" xfId="1459" xr:uid="{99A6736D-2D80-4DC7-B2ED-CA25EAA044D0}"/>
    <cellStyle name="Check Cell 5 10" xfId="3366" xr:uid="{C19762DF-B57E-472B-B949-032051888378}"/>
    <cellStyle name="Check Cell 5 11" xfId="3367" xr:uid="{97A8C00C-E03E-469E-A6CE-DFF722F1F353}"/>
    <cellStyle name="Check Cell 5 12" xfId="3368" xr:uid="{085891F5-E32B-45F5-A228-D8BFCC7AEB39}"/>
    <cellStyle name="Check Cell 5 2" xfId="1460" xr:uid="{4A6EAEBF-D174-4B50-AB0C-7E45C10DD229}"/>
    <cellStyle name="Check Cell 5 3" xfId="1461" xr:uid="{848EE791-C36B-4607-85E9-90585432CA03}"/>
    <cellStyle name="Check Cell 5 4" xfId="1462" xr:uid="{3D839A04-726D-4C33-8018-593D85222A27}"/>
    <cellStyle name="Check Cell 5 5" xfId="1463" xr:uid="{B4B06CA3-7E77-4881-9727-88CDF4919C1E}"/>
    <cellStyle name="Check Cell 5 6" xfId="1464" xr:uid="{2509F57C-0A4E-4903-938E-2F68FB31FF1C}"/>
    <cellStyle name="Check Cell 5 7" xfId="1465" xr:uid="{BD6C54F5-E034-4924-B86F-32B35BBB03AF}"/>
    <cellStyle name="Check Cell 5 8" xfId="3369" xr:uid="{15D2DC69-85DB-423F-95AC-39C95A9A6EA7}"/>
    <cellStyle name="Check Cell 5 9" xfId="3370" xr:uid="{7C51D93C-02C6-4C5D-A232-A2D6DFE38F69}"/>
    <cellStyle name="Check Cell 5_Trimestral" xfId="3365" xr:uid="{609F3C7A-66F1-447D-8C36-22B3F557C0E8}"/>
    <cellStyle name="Check Cell 6" xfId="3371" xr:uid="{742FBF94-2A24-4A30-BDC8-3FB7CBF9F148}"/>
    <cellStyle name="Check Cell 6 2" xfId="3372" xr:uid="{89713AB9-84C0-43C7-902D-5732C64E4B89}"/>
    <cellStyle name="Check Cell 6 3" xfId="3373" xr:uid="{0D5A520A-E028-4E3E-92A6-DDF0EEA1D382}"/>
    <cellStyle name="Check Cell 6 4" xfId="3374" xr:uid="{ECFB4E54-BC01-422D-9127-92C45C18ED5E}"/>
    <cellStyle name="Check Cell 7" xfId="3375" xr:uid="{1C8DA378-3629-4E0C-824A-2858BC96B58C}"/>
    <cellStyle name="Check Cell 8" xfId="3376" xr:uid="{19DA4FE1-EA03-4E4D-9C40-26D417C16771}"/>
    <cellStyle name="Check Cell 9" xfId="3377" xr:uid="{BF4D8035-BCD3-49AE-8B67-0FEAC136CEB6}"/>
    <cellStyle name="clsAltData" xfId="77" xr:uid="{37E4D564-9CC4-4F52-A1DE-DDA3166F65DF}"/>
    <cellStyle name="clsAltData 2" xfId="4091" xr:uid="{1418DC4A-0596-45FB-91C4-1184F34B126E}"/>
    <cellStyle name="clsAltData 2 2" xfId="4661" xr:uid="{97F10A15-1869-4EFD-AC27-C7DC1850FA40}"/>
    <cellStyle name="clsAltData 3" xfId="4171" xr:uid="{46D6CF93-F87F-4832-973F-54317113C554}"/>
    <cellStyle name="clsColumnHeader" xfId="78" xr:uid="{4E464921-0169-4FAB-AF82-DEBF70417AE4}"/>
    <cellStyle name="clsColumnHeader 2" xfId="4092" xr:uid="{DB8429A2-A162-44E5-803C-EC9DF1917ADA}"/>
    <cellStyle name="clsColumnHeader 2 2" xfId="4662" xr:uid="{1038DC31-34B7-4BF7-8BE7-879F148A348E}"/>
    <cellStyle name="clsColumnHeader 3" xfId="4106" xr:uid="{188D6650-CC62-4AED-B214-758E1EE9442A}"/>
    <cellStyle name="clsData" xfId="79" xr:uid="{000D6309-59F2-4DF8-B71D-A5B40029DED6}"/>
    <cellStyle name="clsData 2" xfId="4093" xr:uid="{6430981C-B1DD-40C1-91D8-CD011FA20238}"/>
    <cellStyle name="clsData 2 2" xfId="4663" xr:uid="{3929B0F8-1DCE-4E28-AE12-58CAC283B096}"/>
    <cellStyle name="clsData 3" xfId="4105" xr:uid="{C8AC2441-5C47-4F35-8116-5ABCA67C9B08}"/>
    <cellStyle name="clsDefault" xfId="80" xr:uid="{F84628BD-7AEF-4849-BD9D-87697027ABB2}"/>
    <cellStyle name="clsDefault 10" xfId="3378" xr:uid="{488DD2EF-3E23-4FE1-887F-C2A196B24467}"/>
    <cellStyle name="clsDefault 11" xfId="3379" xr:uid="{1FA674C5-2947-47ED-ADD9-EE9EB2F7A3CC}"/>
    <cellStyle name="clsDefault 12" xfId="3380" xr:uid="{66DBBFDA-91EC-4378-BD55-21A3D4585AD8}"/>
    <cellStyle name="clsDefault 2" xfId="172" xr:uid="{E46C3AFF-9CA4-4790-9C40-08C8E93EB19E}"/>
    <cellStyle name="clsDefault 2 2" xfId="1466" xr:uid="{5D30E358-7806-401A-937E-6067E6B1C64C}"/>
    <cellStyle name="clsDefault 2_Trimestral" xfId="3381" xr:uid="{8E3F83B7-4386-48D6-8D83-DD9D0855ACB7}"/>
    <cellStyle name="clsDefault 3" xfId="180" xr:uid="{716BB818-F3AA-4254-8360-C2BC417B0B37}"/>
    <cellStyle name="clsDefault 3 2" xfId="1467" xr:uid="{A7AB7816-636F-4030-AF40-2FB8EA367FEA}"/>
    <cellStyle name="clsDefault 3_Trimestral" xfId="3382" xr:uid="{37853430-1E97-4097-8551-096042A5FFD8}"/>
    <cellStyle name="clsDefault 4" xfId="1468" xr:uid="{3D0DA09D-75CD-4CA0-9957-56149C13B72B}"/>
    <cellStyle name="clsDefault 5" xfId="1469" xr:uid="{BCD2AE8E-919D-45B1-B1F2-DA212DB1468D}"/>
    <cellStyle name="clsDefault 6" xfId="1470" xr:uid="{43E8E201-EB30-4A87-B00C-8A8E9B4D17DD}"/>
    <cellStyle name="clsDefault 7" xfId="1471" xr:uid="{E8D28A4C-2702-4FC8-82DB-C9E37B0D1BB7}"/>
    <cellStyle name="clsDefault 8" xfId="3383" xr:uid="{78CAEEDD-B0B9-42C9-9329-4DE3AEEF957E}"/>
    <cellStyle name="clsDefault 9" xfId="3384" xr:uid="{B83F965B-741B-4405-9EA3-B74D4523969B}"/>
    <cellStyle name="clsDefault_Balanco em Vigor" xfId="3385" xr:uid="{210FA1D1-5B34-412A-99E8-49BAADBE83D1}"/>
    <cellStyle name="clsIndexTableTitle" xfId="81" xr:uid="{61662EDB-8804-46B7-B4D0-C9DFFD1A728E}"/>
    <cellStyle name="clsIndexTableTitle 2" xfId="4094" xr:uid="{085CAD9C-618D-414C-966D-C4BF3027E627}"/>
    <cellStyle name="clsIndexTableTitle 2 2" xfId="4664" xr:uid="{FBCA1763-44D8-4396-80D3-5BD046189470}"/>
    <cellStyle name="clsIndexTableTitle 3" xfId="4104" xr:uid="{7732E424-DD6E-4DEB-A27F-5510D1AC3948}"/>
    <cellStyle name="clsReportFooter" xfId="82" xr:uid="{68C5901E-266A-4B0D-82DA-973F96F10A83}"/>
    <cellStyle name="clsReportFooter 2" xfId="4095" xr:uid="{BD8B7B4A-B96C-487E-8632-7B3CA1054300}"/>
    <cellStyle name="clsReportFooter 2 2" xfId="4665" xr:uid="{4B0770E1-7A09-4FFB-A2D8-C94CB17D2C3C}"/>
    <cellStyle name="clsReportFooter 3" xfId="4103" xr:uid="{4586BDF1-B173-4FF1-B7B4-EED20D896F22}"/>
    <cellStyle name="clsReportHeader" xfId="83" xr:uid="{79A0DB86-2723-40E7-8B8A-07C744E99F74}"/>
    <cellStyle name="clsReportHeader 2" xfId="4096" xr:uid="{9539DDDC-8A07-46E0-A631-AE8828BD502F}"/>
    <cellStyle name="clsReportHeader 2 2" xfId="4666" xr:uid="{47A361EF-59A9-4359-966D-45E80F50D90A}"/>
    <cellStyle name="clsReportHeader 3" xfId="4377" xr:uid="{7CE3FD49-2237-4089-8E7D-0D3F71EE61C9}"/>
    <cellStyle name="clsRowHeader" xfId="84" xr:uid="{741E5779-0CF6-40B8-AD75-48FCC77AAD5E}"/>
    <cellStyle name="clsRowHeader 2" xfId="4097" xr:uid="{8E219C62-9460-4D93-8AF2-47E9DC7AF71C}"/>
    <cellStyle name="clsRowHeader 2 2" xfId="4667" xr:uid="{C3EC91FD-0BF6-4C23-8C2E-3C84A5A36677}"/>
    <cellStyle name="clsRowHeader 3" xfId="4376" xr:uid="{C8CEA49D-34AC-4D11-A0E6-074AAEBDF490}"/>
    <cellStyle name="clsScale" xfId="85" xr:uid="{5F96B925-F0A6-4A1A-A985-9A994235EBA6}"/>
    <cellStyle name="Comma" xfId="19" builtinId="3"/>
    <cellStyle name="Comma 10" xfId="4060" xr:uid="{779E82FD-070E-4FA7-85CD-260D5F7DF187}"/>
    <cellStyle name="Comma 11" xfId="4531" xr:uid="{283E8937-75CC-457A-9ADF-409B8E78C94A}"/>
    <cellStyle name="Comma 2" xfId="18" xr:uid="{B5E3EEB8-72E9-4B0A-947A-60E33FEEA7FF}"/>
    <cellStyle name="Comma 2 2" xfId="1472" xr:uid="{D024C48E-48FD-464C-AA8F-5D7C18B4E0B3}"/>
    <cellStyle name="Comma 2 2 2" xfId="4548" xr:uid="{2EFA9624-22FE-4E4A-9BC1-7688B7EF248B}"/>
    <cellStyle name="Comma 2 3" xfId="3386" xr:uid="{A00C2FF5-80DF-4F35-8636-9DC4DB8FCEF8}"/>
    <cellStyle name="Comma 2 3 2" xfId="4613" xr:uid="{6F724EB4-D84E-43A0-99E5-16DAFBD1058D}"/>
    <cellStyle name="Comma 2 4" xfId="3387" xr:uid="{B80EECBD-CE2B-4934-8F39-94DEBEEA8665}"/>
    <cellStyle name="Comma 2 4 2" xfId="4614" xr:uid="{7FB81966-47ED-43A4-813B-4563699F9210}"/>
    <cellStyle name="Comma 2 5" xfId="3388" xr:uid="{2117A7B1-32A5-4DDB-9899-7851B7FB07BF}"/>
    <cellStyle name="Comma 2 5 2" xfId="4615" xr:uid="{8971255F-8E66-4FB0-A1A4-8E1BC9BD8380}"/>
    <cellStyle name="Comma 2 6" xfId="3389" xr:uid="{F54930D2-6041-432F-87F5-288BFDD6FA3C}"/>
    <cellStyle name="Comma 2 6 2" xfId="4616" xr:uid="{5D0B8600-9811-4EEE-9DED-DD1DABCCBEA5}"/>
    <cellStyle name="Comma 2 7" xfId="3390" xr:uid="{98515C60-2B2E-4B37-B948-BA0C593112E0}"/>
    <cellStyle name="Comma 2 7 2" xfId="4617" xr:uid="{BD8B7E7F-FAC5-4B69-BF27-7807078816AE}"/>
    <cellStyle name="Comma 2 8" xfId="25" xr:uid="{55DD7B45-EED8-4588-ABA3-08583F8C8E07}"/>
    <cellStyle name="Comma 2 8 2" xfId="4532" xr:uid="{0DF25878-33E1-4B37-AAA1-68C9974CAB93}"/>
    <cellStyle name="Comma 2 9" xfId="4530" xr:uid="{F4873CEE-B84D-4A51-B381-1A2760539899}"/>
    <cellStyle name="Comma 3" xfId="26" xr:uid="{21B1B0AF-3763-402F-9550-4901917A5064}"/>
    <cellStyle name="Comma 3 2" xfId="4533" xr:uid="{6724AC38-54E5-4622-B2F2-B45DA6B9409B}"/>
    <cellStyle name="Comma 4" xfId="27" xr:uid="{57303D62-A335-4F67-B5D2-23AEF60953C6}"/>
    <cellStyle name="Comma 4 2" xfId="4534" xr:uid="{FD6A228D-C4E9-40D4-BC26-17B28F3B960E}"/>
    <cellStyle name="Comma 5" xfId="28" xr:uid="{0103D98A-B145-405B-BD3F-A55BD5CCFFE4}"/>
    <cellStyle name="Comma 5 10" xfId="192" xr:uid="{CF80A745-8318-4D42-9230-9737E7686C75}"/>
    <cellStyle name="Comma 5 10 2" xfId="4546" xr:uid="{FE78D9BF-5518-41F5-8785-46BA89A188AB}"/>
    <cellStyle name="Comma 5 11" xfId="207" xr:uid="{458980CD-196F-4A49-B4DD-5DBB013E2690}"/>
    <cellStyle name="Comma 5 11 2" xfId="4547" xr:uid="{2A39FBE3-BC28-4A0E-B384-675ED3CBD14F}"/>
    <cellStyle name="Comma 5 12" xfId="4535" xr:uid="{052C6E8D-2E4B-418E-AF10-0800C2280175}"/>
    <cellStyle name="Comma 5 2" xfId="109" xr:uid="{46DC18CA-9964-4BBC-9881-A2A434644901}"/>
    <cellStyle name="Comma 5 2 2" xfId="4539" xr:uid="{30D292B7-43C2-43AC-83CA-E0AF11176F5A}"/>
    <cellStyle name="Comma 5 3" xfId="112" xr:uid="{4C8CF08D-9224-4600-9F95-C040A756AFD8}"/>
    <cellStyle name="Comma 5 3 2" xfId="4540" xr:uid="{F3AE0A3B-4ADA-4D77-9738-790FE934D9AE}"/>
    <cellStyle name="Comma 5 4" xfId="105" xr:uid="{0E36392F-96A6-4EE7-AA90-CCD843145662}"/>
    <cellStyle name="Comma 5 4 2" xfId="4538" xr:uid="{F7029644-FE52-442D-BB5F-6BE98E06EAE3}"/>
    <cellStyle name="Comma 5 5" xfId="122" xr:uid="{C9F65938-4ACC-41E4-B4A1-B6EAB999015A}"/>
    <cellStyle name="Comma 5 5 2" xfId="4541" xr:uid="{1BC130D7-EAE2-4A0E-9939-610778917C83}"/>
    <cellStyle name="Comma 5 6" xfId="124" xr:uid="{2031554D-5B7B-4640-9247-C1ABE778B537}"/>
    <cellStyle name="Comma 5 6 2" xfId="4542" xr:uid="{6687590B-E65E-49A6-919D-807891EC4DC2}"/>
    <cellStyle name="Comma 5 7" xfId="126" xr:uid="{D758F086-469A-4C4B-A4F4-D565AFE47530}"/>
    <cellStyle name="Comma 5 7 2" xfId="4543" xr:uid="{AA63BD7F-F133-41EC-9B59-660B202A5B89}"/>
    <cellStyle name="Comma 5 8" xfId="129" xr:uid="{2915D8A6-0671-4F15-B3D3-0FFF7173AB40}"/>
    <cellStyle name="Comma 5 8 2" xfId="4544" xr:uid="{2A7ED17B-A5BE-49BB-82BE-BA6EBFDA3D7A}"/>
    <cellStyle name="Comma 5 9" xfId="188" xr:uid="{60492009-D315-46CD-A00F-3E5B0F6DDE97}"/>
    <cellStyle name="Comma 5 9 2" xfId="4545" xr:uid="{487F4567-2DC9-4387-9A04-0B7471EFF726}"/>
    <cellStyle name="Comma 6" xfId="3391" xr:uid="{A333F83B-ECEC-46A2-AD32-790D0E3FA541}"/>
    <cellStyle name="Comma 6 2" xfId="4618" xr:uid="{A15C9271-0865-4D6C-B463-277A9AB04A27}"/>
    <cellStyle name="Comma 7" xfId="3392" xr:uid="{DCC2CA41-70F7-4F4D-A683-32F722E4908A}"/>
    <cellStyle name="Comma 7 2" xfId="4619" xr:uid="{9DB7EA95-E8AE-4676-B343-3C2E9E3D4F8C}"/>
    <cellStyle name="Comma 8" xfId="3393" xr:uid="{B0AA379C-01E6-4923-8723-297C420C833C}"/>
    <cellStyle name="Comma 8 2" xfId="4620" xr:uid="{77B18A3A-307F-465C-8650-46EEDC55AC5F}"/>
    <cellStyle name="Comma 9" xfId="3394" xr:uid="{BDB56FAC-112D-466E-B182-B5F04A2D1E6D}"/>
    <cellStyle name="Comma 9 2" xfId="4621" xr:uid="{8F64340F-228B-49CD-8D45-FC1F06591DFD}"/>
    <cellStyle name="Comma0" xfId="3395" xr:uid="{53DCCF20-51F3-40D5-89C6-36B057F7CBBB}"/>
    <cellStyle name="Currency" xfId="4895" builtinId="4"/>
    <cellStyle name="Currency 2" xfId="4168" xr:uid="{6C9D5BA3-88DF-40A5-88D6-04EB3B3B8C90}"/>
    <cellStyle name="Currency 2 2" xfId="4678" xr:uid="{063A05A0-0D78-4B83-AF75-AF09252C877F}"/>
    <cellStyle name="Currency 3" xfId="4893" xr:uid="{83669C1C-6B4F-483E-9DB3-750732A7A412}"/>
    <cellStyle name="Currency0" xfId="3396" xr:uid="{B7CF9CB6-491E-4FAE-BFFF-C9975F14C9B8}"/>
    <cellStyle name="Currency0 2" xfId="4622" xr:uid="{99621A96-136C-477D-9F4D-FF9CDF037885}"/>
    <cellStyle name="Data" xfId="29" xr:uid="{FD27E2BA-57C3-4BA3-82E9-A2E90671CE36}"/>
    <cellStyle name="Date" xfId="3397" xr:uid="{49D98FF0-9DC6-4C35-99F7-C7ACD64838CB}"/>
    <cellStyle name="En miles" xfId="30" xr:uid="{6DBD1F44-A511-4449-AC97-944660BD7452}"/>
    <cellStyle name="En millones" xfId="31" xr:uid="{35DCB44F-5467-4B15-A71F-81F62845808D}"/>
    <cellStyle name="Entrada" xfId="4" xr:uid="{A24E642F-8203-4219-9947-814B12110811}"/>
    <cellStyle name="Entrada 2" xfId="4099" xr:uid="{34A18802-8728-424B-9316-C171F9D0DA97}"/>
    <cellStyle name="Entrada 2 2" xfId="4668" xr:uid="{BF11B7D2-AE4D-43E4-9321-43F3A098922C}"/>
    <cellStyle name="Entrada 3" xfId="4169" xr:uid="{7150082B-C1A7-4E6D-8151-8CE31F82DF36}"/>
    <cellStyle name="Euro" xfId="32" xr:uid="{60D2B2BC-FB95-47B9-86F1-5028F9CFCC19}"/>
    <cellStyle name="Euro 10" xfId="137" xr:uid="{4E279DE3-75AC-4C06-A58C-21D4B569946F}"/>
    <cellStyle name="Euro 11" xfId="148" xr:uid="{8DC3E36D-3453-4926-9806-F517E5FFDAFD}"/>
    <cellStyle name="Euro 12" xfId="135" xr:uid="{AAC12DF8-15C1-47DE-B2AC-D460A266466B}"/>
    <cellStyle name="Euro 13" xfId="150" xr:uid="{EAF92892-6C0B-43CC-AEE9-B342384C6C62}"/>
    <cellStyle name="Euro 14" xfId="133" xr:uid="{09C2B961-FAC6-4D5D-8E91-0BDEA5B627AF}"/>
    <cellStyle name="Euro 15" xfId="153" xr:uid="{B4A1C038-279B-4F77-8B05-777A31100A96}"/>
    <cellStyle name="Euro 16" xfId="130" xr:uid="{34FDD872-79EE-413D-AE50-0D1BB7B563A6}"/>
    <cellStyle name="Euro 17" xfId="156" xr:uid="{F5BEB772-2526-4D6D-9F75-15B17E1BBA09}"/>
    <cellStyle name="Euro 18" xfId="159" xr:uid="{B98C41B5-01E5-477A-9C8C-52F030C2CDC3}"/>
    <cellStyle name="Euro 19" xfId="173" xr:uid="{6520BDEE-2B37-443C-8ECB-C47626FE34AA}"/>
    <cellStyle name="Euro 2" xfId="110" xr:uid="{D8CC5C39-1D05-4C7C-A873-5C5F555632ED}"/>
    <cellStyle name="Euro 2 10" xfId="152" xr:uid="{9653E880-2469-48A5-9E4A-B23BC581C850}"/>
    <cellStyle name="Euro 2 11" xfId="131" xr:uid="{585BA2EE-AC72-4E67-BF1A-0E16855C1223}"/>
    <cellStyle name="Euro 2 12" xfId="155" xr:uid="{C17F9052-A5E4-45B9-B2D3-CED566A336FE}"/>
    <cellStyle name="Euro 2 13" xfId="158" xr:uid="{C564FF55-ECDD-456B-B15D-21D641BE2098}"/>
    <cellStyle name="Euro 2 14" xfId="161" xr:uid="{49E0952C-66D9-4BF6-875B-DFDB3F45F8A3}"/>
    <cellStyle name="Euro 2 15" xfId="163" xr:uid="{427C9ABA-42F0-43FB-B4BD-FF4643B8845D}"/>
    <cellStyle name="Euro 2 16" xfId="174" xr:uid="{B0B19752-D3A2-4504-869E-5F56279060E8}"/>
    <cellStyle name="Euro 2 17" xfId="182" xr:uid="{9779B14D-00BA-4FE3-B105-DAB83586C161}"/>
    <cellStyle name="Euro 2 18" xfId="178" xr:uid="{77DE5603-525B-4AED-8AF7-1681141FA018}"/>
    <cellStyle name="Euro 2 19" xfId="198" xr:uid="{4332E27D-A023-4A2F-8848-ACA6AC0DEF39}"/>
    <cellStyle name="Euro 2 2" xfId="143" xr:uid="{AF272D3C-9AC6-46B5-9F52-4357837E5805}"/>
    <cellStyle name="Euro 2 20" xfId="195" xr:uid="{D1A12412-C9D7-46BB-A852-B16D5718AFA8}"/>
    <cellStyle name="Euro 2 21" xfId="200" xr:uid="{A1144A5E-690F-45F1-9617-7E828736C0B9}"/>
    <cellStyle name="Euro 2 22" xfId="215" xr:uid="{FEFD8198-0CEE-4BFE-81B0-E122A1B27B8D}"/>
    <cellStyle name="Euro 2 23" xfId="212" xr:uid="{E715845A-4932-48FF-B5F2-39DFB966C37C}"/>
    <cellStyle name="Euro 2 24" xfId="217" xr:uid="{9B4E11E0-A1E0-48C9-A870-65DAEF9BD4B5}"/>
    <cellStyle name="Euro 2 25" xfId="210" xr:uid="{EC4F13EF-A3EC-4412-8459-4AC8EB932D57}"/>
    <cellStyle name="Euro 2 3" xfId="140" xr:uid="{44BEBD38-22E8-47AE-B684-589883EA6248}"/>
    <cellStyle name="Euro 2 4" xfId="145" xr:uid="{89304E85-9C93-4FDD-8CB3-906945FC3E3A}"/>
    <cellStyle name="Euro 2 5" xfId="138" xr:uid="{30D41F6C-3BAC-4B78-93CD-906D160B53C9}"/>
    <cellStyle name="Euro 2 6" xfId="147" xr:uid="{9F03E680-F68A-493F-9315-F36F3C9D22E0}"/>
    <cellStyle name="Euro 2 7" xfId="136" xr:uid="{DF068B82-54F3-41C6-A994-CD0E9F17B933}"/>
    <cellStyle name="Euro 2 8" xfId="149" xr:uid="{31648847-7675-4005-AED8-EAEB4AD87CBF}"/>
    <cellStyle name="Euro 2 9" xfId="134" xr:uid="{5E201DEB-7EF6-4732-BF5E-F5A0601EC41E}"/>
    <cellStyle name="Euro 2_Trimestral" xfId="3398" xr:uid="{761B62CE-C39B-44F9-9AF2-57B62F3393B7}"/>
    <cellStyle name="Euro 20" xfId="181" xr:uid="{E98AF897-C6AF-4FD0-AB4A-0689D16CA7B2}"/>
    <cellStyle name="Euro 21" xfId="179" xr:uid="{2B53467C-DA2C-4CE2-832B-9C0FD9D5BBAC}"/>
    <cellStyle name="Euro 22" xfId="197" xr:uid="{BC9581AE-1ED2-4B1A-88F7-BD4F46300839}"/>
    <cellStyle name="Euro 23" xfId="196" xr:uid="{F6B474D1-F390-4A14-93DB-FFC652DDA068}"/>
    <cellStyle name="Euro 24" xfId="199" xr:uid="{BEA912E5-232B-44F8-95F6-591C2DBD5660}"/>
    <cellStyle name="Euro 25" xfId="214" xr:uid="{A3A8C4E2-D558-4B93-8C52-8B8659BAE1DA}"/>
    <cellStyle name="Euro 26" xfId="213" xr:uid="{D407ED91-F921-4699-9A68-18AD3FF2C1A8}"/>
    <cellStyle name="Euro 27" xfId="216" xr:uid="{64CE058D-12D3-4D40-A6F1-36FB68699D15}"/>
    <cellStyle name="Euro 28" xfId="211" xr:uid="{42EE8E9E-2C4A-47EF-B309-31D07482510E}"/>
    <cellStyle name="Euro 29" xfId="1473" xr:uid="{9230CBAD-A04E-40EB-9F48-83148DA34830}"/>
    <cellStyle name="Euro 3" xfId="111" xr:uid="{72D189A1-4B32-4163-BA6C-A700574C1FA1}"/>
    <cellStyle name="Euro 4" xfId="108" xr:uid="{5CAAF34D-AD21-46C1-8526-4AD05A58B9C7}"/>
    <cellStyle name="Euro 5" xfId="142" xr:uid="{34379366-A68F-43EA-97F8-DD1D70F8F133}"/>
    <cellStyle name="Euro 6" xfId="141" xr:uid="{ECF04AF6-4790-4EC7-9D20-82DA039D18D5}"/>
    <cellStyle name="Euro 7" xfId="144" xr:uid="{B87F8A04-E589-4E77-8E67-83DF114B9A4C}"/>
    <cellStyle name="Euro 8" xfId="139" xr:uid="{60DDA7CF-1D35-4404-A85F-D1B8B8B5B3AB}"/>
    <cellStyle name="Euro 9" xfId="146" xr:uid="{FE88BF22-EA59-4FC2-A89F-42682E4A9BF6}"/>
    <cellStyle name="Explanatory Text" xfId="9" builtinId="53" customBuiltin="1"/>
    <cellStyle name="Explanatory Text 2" xfId="1474" xr:uid="{A60D17E1-9C5B-4E26-80B8-A6A5B29A265C}"/>
    <cellStyle name="Explanatory Text 2 10" xfId="3400" xr:uid="{3A3EDC75-2AE7-4856-BF6F-D8412A917785}"/>
    <cellStyle name="Explanatory Text 2 11" xfId="3401" xr:uid="{01E73883-A995-4512-A3C9-B6544140FC78}"/>
    <cellStyle name="Explanatory Text 2 12" xfId="3402" xr:uid="{AF63CA3A-E722-4ED4-A265-8842290DDF28}"/>
    <cellStyle name="Explanatory Text 2 2" xfId="1475" xr:uid="{AB890D1A-40AA-48C6-B49B-45D432A30735}"/>
    <cellStyle name="Explanatory Text 2 3" xfId="1476" xr:uid="{25643897-4D2C-4043-A7E5-20AAD7D9F772}"/>
    <cellStyle name="Explanatory Text 2 4" xfId="1477" xr:uid="{EE575392-3DC9-4DA8-B6E7-3DE5A209C381}"/>
    <cellStyle name="Explanatory Text 2 5" xfId="1478" xr:uid="{F601A52C-3642-4152-B781-B236BD94A51B}"/>
    <cellStyle name="Explanatory Text 2 6" xfId="1479" xr:uid="{4011D98E-B8DC-4F8B-BBFA-45AEDC60697B}"/>
    <cellStyle name="Explanatory Text 2 7" xfId="1480" xr:uid="{3771289C-CC6A-467A-9D6E-C9AAF194DE9F}"/>
    <cellStyle name="Explanatory Text 2 8" xfId="3403" xr:uid="{E3E2A242-BEA8-4176-ADFD-BF8D9AFBCA9C}"/>
    <cellStyle name="Explanatory Text 2 9" xfId="3404" xr:uid="{1B06875F-138A-41E8-B162-11098E63A11B}"/>
    <cellStyle name="Explanatory Text 2_Trimestral" xfId="3399" xr:uid="{DDCA8E24-BAAA-4DD2-9D08-D2FD30F76BD5}"/>
    <cellStyle name="Explanatory Text 3" xfId="1481" xr:uid="{24AB1029-23D0-4660-BFD5-824A4E0BF18B}"/>
    <cellStyle name="Explanatory Text 3 10" xfId="3406" xr:uid="{549C5BEF-01C5-4EEC-BE61-B10332054129}"/>
    <cellStyle name="Explanatory Text 3 11" xfId="3407" xr:uid="{87FE62E1-91F4-4310-81BA-72765D3AC4BA}"/>
    <cellStyle name="Explanatory Text 3 12" xfId="3408" xr:uid="{CAEDC64C-E1DF-4405-AFE6-B490F3085992}"/>
    <cellStyle name="Explanatory Text 3 2" xfId="1482" xr:uid="{E405197B-203B-4DAA-89E8-15BF62655808}"/>
    <cellStyle name="Explanatory Text 3 3" xfId="1483" xr:uid="{5F8D5280-0D80-4337-AD6F-43D87CC339A9}"/>
    <cellStyle name="Explanatory Text 3 4" xfId="1484" xr:uid="{7CEACBCE-3954-4C91-AF72-1530F672B520}"/>
    <cellStyle name="Explanatory Text 3 5" xfId="1485" xr:uid="{9C1788E7-2CBE-45FB-A62A-DAA3C29CF2D1}"/>
    <cellStyle name="Explanatory Text 3 6" xfId="1486" xr:uid="{B6A506EC-49D5-4030-A831-459316610373}"/>
    <cellStyle name="Explanatory Text 3 7" xfId="1487" xr:uid="{915AEF01-B357-4125-9937-9196CF5E670B}"/>
    <cellStyle name="Explanatory Text 3 8" xfId="3409" xr:uid="{4C9DC016-7EE1-4470-B239-2164708BB5FA}"/>
    <cellStyle name="Explanatory Text 3 9" xfId="3410" xr:uid="{6D723DF7-425C-41FA-BEBD-4A0D6850AABD}"/>
    <cellStyle name="Explanatory Text 3_Trimestral" xfId="3405" xr:uid="{38CEEA3C-E973-4440-BD96-6550EB5B43E0}"/>
    <cellStyle name="Explanatory Text 4" xfId="1488" xr:uid="{8AA66543-0B26-4FE5-8CFD-51B5E2FB72E6}"/>
    <cellStyle name="Explanatory Text 4 10" xfId="3412" xr:uid="{C2A89E37-4E59-4AAF-AD80-2C24473D41BF}"/>
    <cellStyle name="Explanatory Text 4 11" xfId="3413" xr:uid="{EC5859CA-55C0-46E9-95DD-D76E0281182F}"/>
    <cellStyle name="Explanatory Text 4 12" xfId="3414" xr:uid="{5C178F4B-48FD-4DD3-9A38-4BB1E3DFC200}"/>
    <cellStyle name="Explanatory Text 4 2" xfId="1489" xr:uid="{E442F4F2-E300-420B-A353-031A861E8EB3}"/>
    <cellStyle name="Explanatory Text 4 3" xfId="1490" xr:uid="{5084C477-7CEA-40DA-910B-740B80A06CDB}"/>
    <cellStyle name="Explanatory Text 4 4" xfId="1491" xr:uid="{5E738B12-6A0F-4B98-8078-699DDDFC689C}"/>
    <cellStyle name="Explanatory Text 4 5" xfId="1492" xr:uid="{DFADC7D9-A761-4F35-93AB-D80FFE2E9B89}"/>
    <cellStyle name="Explanatory Text 4 6" xfId="1493" xr:uid="{C9F0B2C1-E41A-4C3F-B670-3A676B03ED10}"/>
    <cellStyle name="Explanatory Text 4 7" xfId="1494" xr:uid="{39C78171-34DD-44D3-9872-A25032DED675}"/>
    <cellStyle name="Explanatory Text 4 8" xfId="3415" xr:uid="{670DF8E7-E116-4E5D-A215-68F4ED3F010E}"/>
    <cellStyle name="Explanatory Text 4 9" xfId="3416" xr:uid="{FC11B90C-EE2B-44EC-A988-EC4D6DA22B2A}"/>
    <cellStyle name="Explanatory Text 4_Trimestral" xfId="3411" xr:uid="{A0C70E71-5266-4036-8954-1427C37EE406}"/>
    <cellStyle name="Explanatory Text 5" xfId="1495" xr:uid="{58C734C8-4064-4DBE-B4C9-BA5ED3D3EDE5}"/>
    <cellStyle name="Explanatory Text 5 10" xfId="3418" xr:uid="{F6575B97-5D85-4A34-BB10-5EE2B61C6199}"/>
    <cellStyle name="Explanatory Text 5 11" xfId="3419" xr:uid="{AF78172D-6461-421D-9A16-C0DA9A505B6C}"/>
    <cellStyle name="Explanatory Text 5 12" xfId="3420" xr:uid="{655360AE-D14E-4F95-B543-C49B66A4F17E}"/>
    <cellStyle name="Explanatory Text 5 2" xfId="1496" xr:uid="{3ECA0F73-819A-49E2-A75D-C3DB9E6F2557}"/>
    <cellStyle name="Explanatory Text 5 3" xfId="1497" xr:uid="{A6C70D00-0C79-4659-BDF7-A30F4716B3D4}"/>
    <cellStyle name="Explanatory Text 5 4" xfId="1498" xr:uid="{3A246B45-71DB-4115-AF14-C8A944D91427}"/>
    <cellStyle name="Explanatory Text 5 5" xfId="1499" xr:uid="{A96F0531-AA71-41AF-811A-CE14FE21A1A6}"/>
    <cellStyle name="Explanatory Text 5 6" xfId="1500" xr:uid="{6206EC77-3DC7-4FB0-8AD0-E5F5FFC4133F}"/>
    <cellStyle name="Explanatory Text 5 7" xfId="1501" xr:uid="{2722B052-C336-4ECE-9709-6C61795DBF79}"/>
    <cellStyle name="Explanatory Text 5 8" xfId="3421" xr:uid="{4BC7D2B7-F645-460C-9E4E-EC96780C8599}"/>
    <cellStyle name="Explanatory Text 5 9" xfId="3422" xr:uid="{03AEB0AC-1136-4C1A-8096-3109026E83C3}"/>
    <cellStyle name="Explanatory Text 5_Trimestral" xfId="3417" xr:uid="{6E7C920B-805C-4306-9B50-63B9E9429DB4}"/>
    <cellStyle name="Explanatory Text 6" xfId="3423" xr:uid="{C58567A1-6BF5-440C-83BC-2B9B66E82847}"/>
    <cellStyle name="Explanatory Text 7" xfId="97" xr:uid="{C9D5F1B3-C0E3-4E9F-B1C5-8579F11CC4D0}"/>
    <cellStyle name="Explanatory Text 8" xfId="4102" xr:uid="{F417AB40-C076-475C-B7FC-F13ED8258F91}"/>
    <cellStyle name="Explanatory Text 9" xfId="4374" xr:uid="{1D5461C4-7473-4786-96D7-D8E7F4387554}"/>
    <cellStyle name="Fixed" xfId="3424" xr:uid="{5E02B197-6494-4DC3-8557-F7003101E754}"/>
    <cellStyle name="Fixo" xfId="33" xr:uid="{0794E148-0266-48D6-8EE1-885BB2D136DD}"/>
    <cellStyle name="Good 2" xfId="1502" xr:uid="{4B1636C6-E04F-4962-8692-300131D4F2C1}"/>
    <cellStyle name="Good 2 10" xfId="3426" xr:uid="{288A87A6-847C-4DD1-9AA3-8FCC52DDCDBA}"/>
    <cellStyle name="Good 2 11" xfId="3427" xr:uid="{66F92EC5-B252-4ABB-8715-97F61954B196}"/>
    <cellStyle name="Good 2 12" xfId="3428" xr:uid="{4C85183B-877C-4F92-B3BB-424A6700D6BE}"/>
    <cellStyle name="Good 2 2" xfId="1503" xr:uid="{3D5FBB81-2E76-4445-9B02-D4549AEEB276}"/>
    <cellStyle name="Good 2 3" xfId="1504" xr:uid="{A6E7E137-33EE-46A5-938C-77BEDDA66546}"/>
    <cellStyle name="Good 2 4" xfId="1505" xr:uid="{59D16E9D-ECE8-4D18-803D-572F3379802D}"/>
    <cellStyle name="Good 2 5" xfId="1506" xr:uid="{CCFD66DC-0B55-45ED-A8A3-325345F0A311}"/>
    <cellStyle name="Good 2 6" xfId="1507" xr:uid="{C36CB801-2A52-4226-A397-158521E56CBC}"/>
    <cellStyle name="Good 2 7" xfId="1508" xr:uid="{C1E6005F-20A9-4009-89D6-6DF0A3B2C0D3}"/>
    <cellStyle name="Good 2 8" xfId="3429" xr:uid="{0619E607-2988-46FA-BC99-843DC135FAAC}"/>
    <cellStyle name="Good 2 9" xfId="3430" xr:uid="{38301EC2-CFEC-43A0-9513-BE400F5177B2}"/>
    <cellStyle name="Good 2_Trimestral" xfId="3425" xr:uid="{207F2213-F64D-4CCB-B11E-7B61CE76D9EF}"/>
    <cellStyle name="Good 3" xfId="1509" xr:uid="{99BF5E44-9A2F-48E4-A020-B6422C749DCC}"/>
    <cellStyle name="Good 3 10" xfId="3432" xr:uid="{EFEC2318-844F-4856-A85D-7A30D61EB6E8}"/>
    <cellStyle name="Good 3 11" xfId="3433" xr:uid="{0A084E1F-D19C-400B-90DC-742713B7B433}"/>
    <cellStyle name="Good 3 12" xfId="3434" xr:uid="{ED647054-B126-40A2-A8AC-FDE7A1604AB8}"/>
    <cellStyle name="Good 3 2" xfId="1510" xr:uid="{46C531CB-F5A7-4F46-A864-A0377FBC38A9}"/>
    <cellStyle name="Good 3 3" xfId="1511" xr:uid="{FCA14BDA-6740-4613-A633-A9661D5DC26D}"/>
    <cellStyle name="Good 3 4" xfId="1512" xr:uid="{398E1612-E73F-4E9A-A108-7EBD5B2C238C}"/>
    <cellStyle name="Good 3 5" xfId="1513" xr:uid="{325297A5-6B62-44C7-AA5C-6DA81DA12D9C}"/>
    <cellStyle name="Good 3 6" xfId="1514" xr:uid="{96FA329D-A64A-4730-995E-D24C69E66955}"/>
    <cellStyle name="Good 3 7" xfId="1515" xr:uid="{18931127-EA79-4591-AFC5-61AB5F2C8174}"/>
    <cellStyle name="Good 3 8" xfId="3435" xr:uid="{1E4A5443-60AD-4CDE-8968-916F37181149}"/>
    <cellStyle name="Good 3 9" xfId="3436" xr:uid="{FCE88522-B3B7-44AE-9C16-466B5BA250CB}"/>
    <cellStyle name="Good 3_Trimestral" xfId="3431" xr:uid="{10EE8D0B-BCE8-408C-91D1-8C790AA10A67}"/>
    <cellStyle name="Good 4" xfId="1516" xr:uid="{9FA08645-2F5E-472B-A1CD-1CBB80C76F21}"/>
    <cellStyle name="Good 4 10" xfId="3438" xr:uid="{B1BA1611-A68B-4941-BA76-5276621DC48C}"/>
    <cellStyle name="Good 4 11" xfId="3439" xr:uid="{8EE69DAA-E87B-4ED1-B704-FFFFA1038A09}"/>
    <cellStyle name="Good 4 12" xfId="3440" xr:uid="{81561AAB-D79F-4D21-900B-60AFCD1B8B57}"/>
    <cellStyle name="Good 4 2" xfId="1517" xr:uid="{D2EE6B16-FAAA-41F5-84AD-452931282C55}"/>
    <cellStyle name="Good 4 3" xfId="1518" xr:uid="{196EE1E5-EA47-46C9-BBC9-483B440D841D}"/>
    <cellStyle name="Good 4 4" xfId="1519" xr:uid="{298F055C-C419-47F4-8C82-C28E5463F8BD}"/>
    <cellStyle name="Good 4 5" xfId="1520" xr:uid="{9105D8FE-A9CD-46C8-BE3B-3D36F94CC1E7}"/>
    <cellStyle name="Good 4 6" xfId="1521" xr:uid="{9FC03991-E152-4C3A-88F9-6BEB1C88503E}"/>
    <cellStyle name="Good 4 7" xfId="1522" xr:uid="{D2E47A85-820A-49DE-88A5-571B97169DEE}"/>
    <cellStyle name="Good 4 8" xfId="3441" xr:uid="{5C1FE64B-D722-4882-9010-EF73A3E210D1}"/>
    <cellStyle name="Good 4 9" xfId="3442" xr:uid="{539A383E-53CE-4227-BC59-C24035F61858}"/>
    <cellStyle name="Good 4_Trimestral" xfId="3437" xr:uid="{4665E7C2-1E9E-42FA-9D70-C5341760BD41}"/>
    <cellStyle name="Good 5" xfId="1523" xr:uid="{53B63FF3-2547-4652-93BC-506F30E01ACA}"/>
    <cellStyle name="Good 5 10" xfId="3444" xr:uid="{987C1865-C8B9-413A-AFB9-964CEFB2626B}"/>
    <cellStyle name="Good 5 11" xfId="3445" xr:uid="{2B95533F-8717-4483-929C-A75F2EF810C7}"/>
    <cellStyle name="Good 5 12" xfId="3446" xr:uid="{2BCCFDCD-00C4-441E-9412-019077149B8E}"/>
    <cellStyle name="Good 5 2" xfId="1524" xr:uid="{3F9B2E77-5ACA-4700-8275-8742A6043BCC}"/>
    <cellStyle name="Good 5 3" xfId="1525" xr:uid="{CB3654D6-A1D4-4B58-BC30-7C68DDAC55D6}"/>
    <cellStyle name="Good 5 4" xfId="1526" xr:uid="{A183B677-6704-4948-A577-9F45AB401882}"/>
    <cellStyle name="Good 5 5" xfId="1527" xr:uid="{92CD231D-7232-415C-8A42-F51443543D22}"/>
    <cellStyle name="Good 5 6" xfId="1528" xr:uid="{72501386-C7C7-495F-8C99-B1F6D123C3D2}"/>
    <cellStyle name="Good 5 7" xfId="1529" xr:uid="{6671B962-15B3-45FE-B556-220501F562EA}"/>
    <cellStyle name="Good 5 8" xfId="3447" xr:uid="{1206147B-0FD3-4DEB-99E1-3A23C476D676}"/>
    <cellStyle name="Good 5 9" xfId="3448" xr:uid="{D20699A5-9975-4448-9752-0FCC2E38E2CA}"/>
    <cellStyle name="Good 5_Trimestral" xfId="3443" xr:uid="{1D3CD3E8-D341-4003-8A01-8A1959C64937}"/>
    <cellStyle name="Good 6" xfId="1530" xr:uid="{A0D226CF-3D36-4EE6-AF2B-9A81FBA22D04}"/>
    <cellStyle name="Good 6 10" xfId="3450" xr:uid="{625AF459-2D33-45EC-8E06-41BADEF0B222}"/>
    <cellStyle name="Good 6 11" xfId="3451" xr:uid="{1BF00393-C3AC-4FDE-B28E-E64A37BA9CEF}"/>
    <cellStyle name="Good 6 12" xfId="3452" xr:uid="{0469F4CC-A824-4F9D-8E2D-8B17482A1F20}"/>
    <cellStyle name="Good 6 2" xfId="1531" xr:uid="{5D7F1D62-E98C-4D93-91A2-93AD5456D9B1}"/>
    <cellStyle name="Good 6 3" xfId="1532" xr:uid="{AA127E58-C83C-4A0E-BA5D-18645D464FAD}"/>
    <cellStyle name="Good 6 4" xfId="1533" xr:uid="{AA31881C-2AB0-42D3-8BED-14BD17138794}"/>
    <cellStyle name="Good 6 5" xfId="1534" xr:uid="{D4F7B1B4-ABE0-4622-9959-21C6846C9947}"/>
    <cellStyle name="Good 6 6" xfId="1535" xr:uid="{584B2980-1762-4FC7-B90F-EF226656A31E}"/>
    <cellStyle name="Good 6 7" xfId="1536" xr:uid="{2A45169D-A2C8-47A6-AD1B-F2984A1A2629}"/>
    <cellStyle name="Good 6 8" xfId="3453" xr:uid="{40D2AD40-790E-4C57-8379-F73FF107B3F9}"/>
    <cellStyle name="Good 6 9" xfId="3454" xr:uid="{A6EA52CA-B8D1-4DDE-9940-4AC0939C62A1}"/>
    <cellStyle name="Good 6_Trimestral" xfId="3449" xr:uid="{8F2206F7-E0D4-45A3-B55D-3EE48C4DB502}"/>
    <cellStyle name="Good 7" xfId="1537" xr:uid="{AB85CDA5-65F9-43BD-94E0-41370F0CEDEB}"/>
    <cellStyle name="Good 7 10" xfId="3456" xr:uid="{E66413B1-83E1-4C51-AA38-3F4790C480AB}"/>
    <cellStyle name="Good 7 11" xfId="3457" xr:uid="{CEB212F1-03FB-47BC-810B-534D23E5150E}"/>
    <cellStyle name="Good 7 12" xfId="3458" xr:uid="{8FDBD50E-F94D-4754-AB40-B8B3A67E4044}"/>
    <cellStyle name="Good 7 2" xfId="1538" xr:uid="{EC313BC6-5762-44AE-9816-A4DAE22F8099}"/>
    <cellStyle name="Good 7 3" xfId="1539" xr:uid="{1DAF66ED-2444-44D4-90AA-207B5F3BFA12}"/>
    <cellStyle name="Good 7 4" xfId="1540" xr:uid="{CB962473-F895-474E-B5EC-9ADD12B650A7}"/>
    <cellStyle name="Good 7 5" xfId="1541" xr:uid="{AD8DF9D0-67E1-4553-9F08-0F162B965A26}"/>
    <cellStyle name="Good 7 6" xfId="1542" xr:uid="{6BF56861-BF5D-46EC-8898-D57FE5533B79}"/>
    <cellStyle name="Good 7 7" xfId="1543" xr:uid="{0E322FF3-8EE6-4BC6-AE4B-ED5B023F4B65}"/>
    <cellStyle name="Good 7 8" xfId="3459" xr:uid="{335E6586-0BB3-4D57-A498-A7301EB9EFD9}"/>
    <cellStyle name="Good 7 9" xfId="3460" xr:uid="{6455B60B-FC92-4EA1-B073-B9BAED16CB9A}"/>
    <cellStyle name="Good 7_Trimestral" xfId="3455" xr:uid="{4520A7C9-724A-45ED-A91E-D6CEEB4DF4D0}"/>
    <cellStyle name="Good 8" xfId="1544" xr:uid="{E9CB03ED-08D0-42E5-9564-04F16305ED6A}"/>
    <cellStyle name="Good 8 10" xfId="3462" xr:uid="{C6C0429C-9530-43A7-A6F3-DCDFB21A48EA}"/>
    <cellStyle name="Good 8 11" xfId="3463" xr:uid="{9B5A7CD2-055B-428C-8AA2-D968DFB201F6}"/>
    <cellStyle name="Good 8 12" xfId="3464" xr:uid="{68F6A489-2265-48BC-8C6F-F8EC92C05487}"/>
    <cellStyle name="Good 8 2" xfId="1545" xr:uid="{DF40A715-3057-43F3-A293-D5AFD59A09C4}"/>
    <cellStyle name="Good 8 3" xfId="1546" xr:uid="{D920913F-BDB7-4E58-8D84-7D23801F702A}"/>
    <cellStyle name="Good 8 4" xfId="1547" xr:uid="{401A2C8A-971A-4A7E-9C24-0CA5893A9A8D}"/>
    <cellStyle name="Good 8 5" xfId="1548" xr:uid="{2C25F8D6-30D8-4512-9577-589E0C8C27C4}"/>
    <cellStyle name="Good 8 6" xfId="1549" xr:uid="{1B539D7F-855C-47B1-AC3D-D58DDE20A70C}"/>
    <cellStyle name="Good 8 7" xfId="1550" xr:uid="{BFA130FF-0397-4009-817B-AAB7C06EFBFF}"/>
    <cellStyle name="Good 8 8" xfId="3465" xr:uid="{31AFC7B0-796E-4A9F-8629-9E7887725069}"/>
    <cellStyle name="Good 8 9" xfId="3466" xr:uid="{6F70C47A-A136-472F-B4C7-38BFE3D3AAD7}"/>
    <cellStyle name="Good 8_Trimestral" xfId="3461" xr:uid="{F1A892DB-5738-4652-BD57-BA5F183DBD93}"/>
    <cellStyle name="Good 9" xfId="3467" xr:uid="{C03FFE06-8A61-4F79-9811-236B99DE414E}"/>
    <cellStyle name="Heading 1" xfId="99" builtinId="16" customBuiltin="1"/>
    <cellStyle name="Heading 1 2" xfId="1551" xr:uid="{F830E6DB-6A49-47EF-95E7-7C50685CC903}"/>
    <cellStyle name="Heading 1 2 10" xfId="3468" xr:uid="{2AE176EB-AE64-4622-A691-D9D039714FA3}"/>
    <cellStyle name="Heading 1 2 11" xfId="3469" xr:uid="{13607886-68E7-4614-B53F-6B700C3964D4}"/>
    <cellStyle name="Heading 1 2 12" xfId="3470" xr:uid="{310DC022-A4C4-4D5D-BB40-C764D5166C60}"/>
    <cellStyle name="Heading 1 2 2" xfId="1552" xr:uid="{6F541B68-B592-45A2-A353-E9EBE0583948}"/>
    <cellStyle name="Heading 1 2 3" xfId="1553" xr:uid="{0624BED5-7573-461C-BB15-87E658AC1090}"/>
    <cellStyle name="Heading 1 2 4" xfId="1554" xr:uid="{6AFC0479-934F-48ED-A6E2-4AA33585CA06}"/>
    <cellStyle name="Heading 1 2 5" xfId="1555" xr:uid="{0ADEBC65-E866-4424-9B66-854DA425BCFE}"/>
    <cellStyle name="Heading 1 2 6" xfId="1556" xr:uid="{0CC1A9BF-D10B-453F-9BAB-446A0E147406}"/>
    <cellStyle name="Heading 1 2 7" xfId="1557" xr:uid="{696B9B83-65AF-474F-80B6-2A096B2DB30E}"/>
    <cellStyle name="Heading 1 2 8" xfId="3471" xr:uid="{BC0133DA-421E-4FBD-AC03-6C5C4EAF434B}"/>
    <cellStyle name="Heading 1 2 9" xfId="3472" xr:uid="{F70A6C05-6D8B-4911-B4CA-E541C1D06FBC}"/>
    <cellStyle name="Heading 1 3" xfId="1558" xr:uid="{24F5738D-B1E9-472F-9971-CEE9F2CF1859}"/>
    <cellStyle name="Heading 1 3 10" xfId="3473" xr:uid="{851B8D9E-7F96-4242-AFE1-F0565D6B5386}"/>
    <cellStyle name="Heading 1 3 11" xfId="3474" xr:uid="{19F4E2E7-87F6-4D81-80C7-64A412EB83C5}"/>
    <cellStyle name="Heading 1 3 12" xfId="3475" xr:uid="{E2C2186A-A790-48F7-9C18-C22B6008C84C}"/>
    <cellStyle name="Heading 1 3 2" xfId="1559" xr:uid="{6762A2F4-D632-4C79-B448-5F8B4D1D38C8}"/>
    <cellStyle name="Heading 1 3 3" xfId="1560" xr:uid="{6534AF49-F979-47D7-8148-61E1AE513C75}"/>
    <cellStyle name="Heading 1 3 4" xfId="1561" xr:uid="{9ACFC455-13A8-4505-A730-2900C4BA9AA6}"/>
    <cellStyle name="Heading 1 3 5" xfId="1562" xr:uid="{D872B4E1-AB52-403E-B53F-C261807987F9}"/>
    <cellStyle name="Heading 1 3 6" xfId="1563" xr:uid="{48F51144-520F-4726-9F35-1FA1C18E0C6A}"/>
    <cellStyle name="Heading 1 3 7" xfId="1564" xr:uid="{692B6A1E-7039-45B5-BB60-CD493FB71027}"/>
    <cellStyle name="Heading 1 3 8" xfId="3476" xr:uid="{DEAAAFDD-2E99-4C52-B77C-53BAB1F2ED62}"/>
    <cellStyle name="Heading 1 3 9" xfId="3477" xr:uid="{89B6BD9B-3FE4-4DDE-AFA6-847AD6F4F0C1}"/>
    <cellStyle name="Heading 1 4" xfId="1565" xr:uid="{A51316F9-5A5C-4B8F-B4DB-9E7A76C4A512}"/>
    <cellStyle name="Heading 1 4 10" xfId="3478" xr:uid="{AF99F4F7-5071-46CB-B16D-55AB8C2B6729}"/>
    <cellStyle name="Heading 1 4 11" xfId="3479" xr:uid="{A10EB142-273D-4B79-A46F-CFEA2817C2E4}"/>
    <cellStyle name="Heading 1 4 12" xfId="3480" xr:uid="{F6E32BD8-AE5D-478D-8A6C-DCCAD7CED5AC}"/>
    <cellStyle name="Heading 1 4 2" xfId="1566" xr:uid="{D871AEA5-AE9E-408E-A838-2033D56A9A5E}"/>
    <cellStyle name="Heading 1 4 3" xfId="1567" xr:uid="{2D1CFC7C-68A1-4A5E-A042-6AB4274AB588}"/>
    <cellStyle name="Heading 1 4 4" xfId="1568" xr:uid="{6C28685A-2041-459A-9AA6-43F7F3F4D47F}"/>
    <cellStyle name="Heading 1 4 5" xfId="1569" xr:uid="{C6C7D3EB-0C80-4555-9459-73C560542AF3}"/>
    <cellStyle name="Heading 1 4 6" xfId="1570" xr:uid="{66AA0301-E83A-485F-A1AC-3721D13D5696}"/>
    <cellStyle name="Heading 1 4 7" xfId="1571" xr:uid="{CD85E357-D3D3-4D20-8B7B-877D6ACA8E3A}"/>
    <cellStyle name="Heading 1 4 8" xfId="3481" xr:uid="{54A3A19B-BA60-43C8-8F01-D57328E9AF63}"/>
    <cellStyle name="Heading 1 4 9" xfId="3482" xr:uid="{943E8A85-95A3-4821-8890-5146932BE25E}"/>
    <cellStyle name="Heading 1 5" xfId="1572" xr:uid="{97752949-477E-4B7C-B48F-874FE75BDB18}"/>
    <cellStyle name="Heading 1 5 10" xfId="3483" xr:uid="{DCEEE868-A511-425D-A106-B6385AD681E7}"/>
    <cellStyle name="Heading 1 5 11" xfId="3484" xr:uid="{650AEC09-E158-439A-9DF6-1B0E5E74C639}"/>
    <cellStyle name="Heading 1 5 12" xfId="3485" xr:uid="{2AF2CF2D-72DC-4E2D-B483-0F8C29D30A32}"/>
    <cellStyle name="Heading 1 5 2" xfId="1573" xr:uid="{45C86BF7-EE52-4D02-951B-FC258FCA89F5}"/>
    <cellStyle name="Heading 1 5 3" xfId="1574" xr:uid="{F33AE160-8A9B-41F1-9953-64D21DFF39DB}"/>
    <cellStyle name="Heading 1 5 4" xfId="1575" xr:uid="{2D2080FB-0F6C-4817-A673-10CB898BFFAC}"/>
    <cellStyle name="Heading 1 5 5" xfId="1576" xr:uid="{754514D0-08C1-425A-AE2C-055285E44175}"/>
    <cellStyle name="Heading 1 5 6" xfId="1577" xr:uid="{A86B72AA-36CF-41A4-8202-86C00A5BAE3B}"/>
    <cellStyle name="Heading 1 5 7" xfId="1578" xr:uid="{6353B7E5-3DB2-4394-B1AD-4B501BB1E3BC}"/>
    <cellStyle name="Heading 1 5 8" xfId="3486" xr:uid="{3917AB3E-0DA6-4F98-AACA-7E8A62EACE02}"/>
    <cellStyle name="Heading 1 5 9" xfId="3487" xr:uid="{88D53CFE-E6DF-4D8B-BEEB-10E55ECFD276}"/>
    <cellStyle name="Heading 1 6" xfId="1579" xr:uid="{7598AC0A-96EC-4659-A7C7-4FC536FCAC4B}"/>
    <cellStyle name="Heading 1 6 10" xfId="3488" xr:uid="{B2B9A52A-D980-4456-8E47-B3EF064E10AE}"/>
    <cellStyle name="Heading 1 6 11" xfId="3489" xr:uid="{FEA16730-BC59-4F64-850B-8FCCE9BF1CB1}"/>
    <cellStyle name="Heading 1 6 12" xfId="3490" xr:uid="{E4E61C21-857A-4C96-BB55-055AE985A701}"/>
    <cellStyle name="Heading 1 6 2" xfId="1580" xr:uid="{5C35662E-CBA8-468D-9131-43B4566F811B}"/>
    <cellStyle name="Heading 1 6 3" xfId="1581" xr:uid="{724378AC-734D-4511-A49D-8A93A1A5C240}"/>
    <cellStyle name="Heading 1 6 4" xfId="1582" xr:uid="{85D8E1C3-D3B5-451D-8F7B-8732D95AE96C}"/>
    <cellStyle name="Heading 1 6 5" xfId="1583" xr:uid="{475124D7-E985-4D9D-8327-C839F33FA7CB}"/>
    <cellStyle name="Heading 1 6 6" xfId="1584" xr:uid="{F1BAA82D-5AA9-46EB-9F3D-778D58AE88C9}"/>
    <cellStyle name="Heading 1 6 7" xfId="1585" xr:uid="{3B9CB650-171F-416A-BDCF-0AED40D6ED86}"/>
    <cellStyle name="Heading 1 6 8" xfId="3491" xr:uid="{61B0A5D0-9A67-4335-A5BC-D4723CC709A6}"/>
    <cellStyle name="Heading 1 6 9" xfId="3492" xr:uid="{A95793F9-3D5C-427D-B906-79C07CCBB32F}"/>
    <cellStyle name="Heading 1 7" xfId="1586" xr:uid="{1014B688-C5FD-4A11-B9A7-6C9820D05185}"/>
    <cellStyle name="Heading 1 7 10" xfId="3493" xr:uid="{F27EF808-15BA-41E6-B505-65FD34771862}"/>
    <cellStyle name="Heading 1 7 11" xfId="3494" xr:uid="{17D5D9C2-B577-41D9-B437-AFEC74235977}"/>
    <cellStyle name="Heading 1 7 12" xfId="3495" xr:uid="{7BE78B61-0F29-439A-B3B4-91460B8E3D25}"/>
    <cellStyle name="Heading 1 7 2" xfId="1587" xr:uid="{F6B00F5F-0D08-4728-B403-2061FE6AC91B}"/>
    <cellStyle name="Heading 1 7 3" xfId="1588" xr:uid="{292D740C-5316-4DEF-ACA2-C86106C7C3D1}"/>
    <cellStyle name="Heading 1 7 4" xfId="1589" xr:uid="{596028D4-5307-48CC-B991-A788D4A950B8}"/>
    <cellStyle name="Heading 1 7 5" xfId="1590" xr:uid="{885F1672-3FEB-408B-A662-C1E0AAF4F859}"/>
    <cellStyle name="Heading 1 7 6" xfId="1591" xr:uid="{591AC703-F217-4163-A9A7-048E443E77B8}"/>
    <cellStyle name="Heading 1 7 7" xfId="1592" xr:uid="{C4E98DBD-DCE3-4507-8305-04C24291DEF0}"/>
    <cellStyle name="Heading 1 7 8" xfId="3496" xr:uid="{C24FDF6E-1562-469A-9E54-83F8D2EF5678}"/>
    <cellStyle name="Heading 1 7 9" xfId="3497" xr:uid="{713B4781-B56D-4685-B878-F2A7219A7B7F}"/>
    <cellStyle name="Heading 1 8" xfId="1593" xr:uid="{1BCB9610-9A8E-46F9-99C4-D6DA08A60753}"/>
    <cellStyle name="Heading 1 8 10" xfId="3498" xr:uid="{F5A8ACF8-3C2E-4F04-B456-1B922F8DF742}"/>
    <cellStyle name="Heading 1 8 11" xfId="3499" xr:uid="{C93FFBC1-EA80-4D9F-91EE-1F50ED7451AB}"/>
    <cellStyle name="Heading 1 8 12" xfId="3500" xr:uid="{D01DEC49-961D-4463-8F5B-68970C447325}"/>
    <cellStyle name="Heading 1 8 2" xfId="1594" xr:uid="{A9E53B9A-E123-41C6-B9BB-7EA6102BBBE9}"/>
    <cellStyle name="Heading 1 8 3" xfId="1595" xr:uid="{981D2675-80F0-45BC-ACE2-0A74AC58C7BE}"/>
    <cellStyle name="Heading 1 8 4" xfId="1596" xr:uid="{0CB86D00-7A6D-4080-8401-8D38C4C2A6AE}"/>
    <cellStyle name="Heading 1 8 5" xfId="1597" xr:uid="{0B630655-DD1B-4377-A682-C8D54854744D}"/>
    <cellStyle name="Heading 1 8 6" xfId="1598" xr:uid="{FC793711-C3D4-42E0-9DC9-81B3BAE9E715}"/>
    <cellStyle name="Heading 1 8 7" xfId="1599" xr:uid="{BABFEBEB-132E-4F1D-ACED-001A56D6E5C6}"/>
    <cellStyle name="Heading 1 8 8" xfId="3501" xr:uid="{C014FACC-A953-4231-8682-954C1AD1C326}"/>
    <cellStyle name="Heading 1 8 9" xfId="3502" xr:uid="{6FC5880E-CBD0-4F69-AC9C-AECFB7A15A06}"/>
    <cellStyle name="Heading 1 9" xfId="3503" xr:uid="{04732199-67B9-44DA-825C-E784F0B58B4B}"/>
    <cellStyle name="Heading 2" xfId="100" builtinId="17" customBuiltin="1"/>
    <cellStyle name="Heading 2 2" xfId="1600" xr:uid="{ED60D906-5AE9-40BD-938D-4C4B819C6953}"/>
    <cellStyle name="Heading 2 2 10" xfId="3504" xr:uid="{18B86FA9-CC14-4AF7-BD0D-EBFC3DD58BBE}"/>
    <cellStyle name="Heading 2 2 11" xfId="3505" xr:uid="{70AB2C56-3503-4CD4-98AC-DFD298AC4EF0}"/>
    <cellStyle name="Heading 2 2 12" xfId="3506" xr:uid="{755EB20D-0C79-4579-A684-30C80F04B8EC}"/>
    <cellStyle name="Heading 2 2 2" xfId="1601" xr:uid="{51CF56BA-5B90-47E3-B384-881A999ECD94}"/>
    <cellStyle name="Heading 2 2 3" xfId="1602" xr:uid="{5113FD1C-6AE3-4915-B6ED-29F766E37546}"/>
    <cellStyle name="Heading 2 2 4" xfId="1603" xr:uid="{0017D95C-4299-4A99-8A6D-0A1331A070A7}"/>
    <cellStyle name="Heading 2 2 5" xfId="1604" xr:uid="{71F2C8FD-F27D-44A9-A511-1604582368A8}"/>
    <cellStyle name="Heading 2 2 6" xfId="1605" xr:uid="{E7EB4620-27D5-46F1-8DBE-D4C17F5FDE8A}"/>
    <cellStyle name="Heading 2 2 7" xfId="1606" xr:uid="{844229FD-FA1C-45A8-80DC-D268025A8A0C}"/>
    <cellStyle name="Heading 2 2 8" xfId="3507" xr:uid="{012CA70E-BC45-426B-8C92-316555BF6863}"/>
    <cellStyle name="Heading 2 2 9" xfId="3508" xr:uid="{B44F2857-4497-4CA2-B707-B287609D9CE9}"/>
    <cellStyle name="Heading 2 3" xfId="1607" xr:uid="{2D5FBD72-2335-4386-BC6D-976860DE1FCD}"/>
    <cellStyle name="Heading 2 3 10" xfId="3509" xr:uid="{6CBD0223-A614-4997-BD9B-9D96A7CC72D5}"/>
    <cellStyle name="Heading 2 3 11" xfId="3510" xr:uid="{EE524B3B-2A59-44C7-B604-9CB4E1A06446}"/>
    <cellStyle name="Heading 2 3 12" xfId="3511" xr:uid="{D9482DB0-7FDA-4BCF-90B4-36182EDF0505}"/>
    <cellStyle name="Heading 2 3 2" xfId="1608" xr:uid="{07C4733A-CC66-4CF6-A1B7-32D213AB81CF}"/>
    <cellStyle name="Heading 2 3 3" xfId="1609" xr:uid="{9F567DF8-1FFC-407A-9A2E-D9D88036DEDC}"/>
    <cellStyle name="Heading 2 3 4" xfId="1610" xr:uid="{CA86D4E8-45A0-40CB-8FE6-51E4446BE8E3}"/>
    <cellStyle name="Heading 2 3 5" xfId="1611" xr:uid="{DE90AD88-D70E-4FC2-B195-8CB2771E0B69}"/>
    <cellStyle name="Heading 2 3 6" xfId="1612" xr:uid="{86DAD5A1-7233-4EF8-BD67-4D71B192CAED}"/>
    <cellStyle name="Heading 2 3 7" xfId="1613" xr:uid="{0190FA39-FB28-4BC6-942A-9285ABA20F99}"/>
    <cellStyle name="Heading 2 3 8" xfId="3512" xr:uid="{1FFB4EC0-A415-4BFF-8500-9AF53A82065D}"/>
    <cellStyle name="Heading 2 3 9" xfId="3513" xr:uid="{4F04149C-8F0D-41C0-8D46-04DF3053750B}"/>
    <cellStyle name="Heading 2 4" xfId="1614" xr:uid="{1CBE54D7-6DA3-41D3-8F5E-795A3675D1C5}"/>
    <cellStyle name="Heading 2 4 10" xfId="3514" xr:uid="{D1733902-231E-47E6-9C3C-B184B1258AD4}"/>
    <cellStyle name="Heading 2 4 11" xfId="3515" xr:uid="{86F3500F-757E-4940-A51E-6AB0A8D3D051}"/>
    <cellStyle name="Heading 2 4 12" xfId="3516" xr:uid="{0A493946-DE1D-4553-94FE-F0EF4E807224}"/>
    <cellStyle name="Heading 2 4 2" xfId="1615" xr:uid="{D68DD034-FD16-4247-ADF4-48B61765BAFB}"/>
    <cellStyle name="Heading 2 4 3" xfId="1616" xr:uid="{A9768960-FCF5-4EE5-AD70-FBCDC77D9AB1}"/>
    <cellStyle name="Heading 2 4 4" xfId="1617" xr:uid="{D32A5B7D-0C2D-412F-953E-1F6AABFB1996}"/>
    <cellStyle name="Heading 2 4 5" xfId="1618" xr:uid="{E0EF1088-76FF-4223-9740-9E442370AD3D}"/>
    <cellStyle name="Heading 2 4 6" xfId="1619" xr:uid="{B086D324-0A53-4CA8-A6D8-9D08A5D1340B}"/>
    <cellStyle name="Heading 2 4 7" xfId="1620" xr:uid="{C7D65B6E-D9BB-41A5-8FC9-86668063845D}"/>
    <cellStyle name="Heading 2 4 8" xfId="3517" xr:uid="{2375DE2E-EA40-4B23-B601-BE788F05D331}"/>
    <cellStyle name="Heading 2 4 9" xfId="3518" xr:uid="{438F45CC-D537-4A03-9DA2-6BC8A3A3F814}"/>
    <cellStyle name="Heading 2 5" xfId="1621" xr:uid="{196AB3FB-56F4-457A-B4A7-2BC67EFECC5E}"/>
    <cellStyle name="Heading 2 5 10" xfId="3519" xr:uid="{9AE393C5-7344-46B9-8AA2-E7AA5CB33089}"/>
    <cellStyle name="Heading 2 5 11" xfId="3520" xr:uid="{751576EB-EB1F-4E04-8DDB-56C0A1A0EDE7}"/>
    <cellStyle name="Heading 2 5 12" xfId="3521" xr:uid="{2A8B0C83-9870-44ED-A810-633F03BD80FC}"/>
    <cellStyle name="Heading 2 5 2" xfId="1622" xr:uid="{DFE7F74B-BCE2-4A90-A757-ABB1123C3A00}"/>
    <cellStyle name="Heading 2 5 3" xfId="1623" xr:uid="{3E02E9FC-3519-4FF7-BBC4-F8BB9E6D829D}"/>
    <cellStyle name="Heading 2 5 4" xfId="1624" xr:uid="{0B36E1B5-DC56-440C-BC8A-25C8A872AAF5}"/>
    <cellStyle name="Heading 2 5 5" xfId="1625" xr:uid="{8E01192F-3F09-4129-8FE5-BB96257DDE4F}"/>
    <cellStyle name="Heading 2 5 6" xfId="1626" xr:uid="{1FC0BB2C-9389-400A-898B-436D626ECDB2}"/>
    <cellStyle name="Heading 2 5 7" xfId="1627" xr:uid="{2C449C0E-9709-458A-9563-104A5BDBF860}"/>
    <cellStyle name="Heading 2 5 8" xfId="3522" xr:uid="{7CDFE334-11E2-4FCB-ADCE-D2E7C43E1CC0}"/>
    <cellStyle name="Heading 2 5 9" xfId="3523" xr:uid="{F816ED9E-B976-4F17-AB5F-F7E4322F2BB0}"/>
    <cellStyle name="Heading 2 6" xfId="1628" xr:uid="{4413A250-B9D7-46FB-A0F2-46496D14AB20}"/>
    <cellStyle name="Heading 2 6 10" xfId="3524" xr:uid="{B1AE03DB-6201-45A3-BBE6-52E8465E7034}"/>
    <cellStyle name="Heading 2 6 11" xfId="3525" xr:uid="{A4E88D21-96A3-49CD-A19C-63E15419981A}"/>
    <cellStyle name="Heading 2 6 12" xfId="3526" xr:uid="{30805F29-1DA1-4BE7-887B-94CD0E9AFE46}"/>
    <cellStyle name="Heading 2 6 2" xfId="1629" xr:uid="{57A07878-6B33-46ED-B2F9-1BCF218C19D9}"/>
    <cellStyle name="Heading 2 6 3" xfId="1630" xr:uid="{76D099C2-FCD2-4949-9FBD-EE82D6543E98}"/>
    <cellStyle name="Heading 2 6 4" xfId="1631" xr:uid="{53824FFF-2803-4FC0-AF06-4FB83229969F}"/>
    <cellStyle name="Heading 2 6 5" xfId="1632" xr:uid="{36303E55-C97A-49C6-9ADB-86BF49A88333}"/>
    <cellStyle name="Heading 2 6 6" xfId="1633" xr:uid="{51A1891E-4BE2-4167-9EA4-88D4E32D7981}"/>
    <cellStyle name="Heading 2 6 7" xfId="1634" xr:uid="{7C8139D6-01A6-4EBC-BF67-9AB2473FCD15}"/>
    <cellStyle name="Heading 2 6 8" xfId="3527" xr:uid="{D9FC721C-8DA1-4C51-98C0-B292C0972149}"/>
    <cellStyle name="Heading 2 6 9" xfId="3528" xr:uid="{D84CF2C1-BC4A-4EEE-A6C5-74B0CA81B417}"/>
    <cellStyle name="Heading 2 7" xfId="1635" xr:uid="{BF69316C-61B7-44D7-B7CC-80CC21685FEB}"/>
    <cellStyle name="Heading 2 7 10" xfId="3529" xr:uid="{D91D42A5-4873-4C6B-B10C-8DE28927A36B}"/>
    <cellStyle name="Heading 2 7 11" xfId="3530" xr:uid="{A54F2FEB-DA22-436F-BDCC-4B453E9AA05E}"/>
    <cellStyle name="Heading 2 7 12" xfId="3531" xr:uid="{E27AD8D2-4BCA-4F4B-BA63-AA92180A4DBE}"/>
    <cellStyle name="Heading 2 7 2" xfId="1636" xr:uid="{AC7247DC-3417-4459-B00C-6CF861D6DC39}"/>
    <cellStyle name="Heading 2 7 3" xfId="1637" xr:uid="{BD6D05C0-4131-40AC-A09F-114EEA0623FA}"/>
    <cellStyle name="Heading 2 7 4" xfId="1638" xr:uid="{F31A45E9-D86B-48D5-8FDE-61C511CA6667}"/>
    <cellStyle name="Heading 2 7 5" xfId="1639" xr:uid="{726FE2CA-F0D6-4FFD-84C8-F6C44B76878C}"/>
    <cellStyle name="Heading 2 7 6" xfId="1640" xr:uid="{ED851A56-61D3-42F2-B0E2-6592B346C880}"/>
    <cellStyle name="Heading 2 7 7" xfId="1641" xr:uid="{D18F5E07-EF8B-4562-8D5A-41BD07A19FEA}"/>
    <cellStyle name="Heading 2 7 8" xfId="3532" xr:uid="{BC8A8895-DB7E-45F8-9CEC-590BF2B34840}"/>
    <cellStyle name="Heading 2 7 9" xfId="3533" xr:uid="{3405E3BB-944A-4281-BD87-0F417BB6C82D}"/>
    <cellStyle name="Heading 2 8" xfId="1642" xr:uid="{622783EC-845F-4B44-BA83-75F089B6D314}"/>
    <cellStyle name="Heading 2 8 10" xfId="3534" xr:uid="{CCAFFD3D-9ECF-47EB-A6A6-98425BDC6257}"/>
    <cellStyle name="Heading 2 8 11" xfId="3535" xr:uid="{E452EE18-81E0-4933-8197-047D02EBF77B}"/>
    <cellStyle name="Heading 2 8 12" xfId="3536" xr:uid="{934D3D96-FDD4-4B92-BE26-1BA71EDE0137}"/>
    <cellStyle name="Heading 2 8 2" xfId="1643" xr:uid="{582BEE6C-B229-4356-B693-997D81E0AB20}"/>
    <cellStyle name="Heading 2 8 3" xfId="1644" xr:uid="{FC77D7B3-5C0F-4E45-9A9F-5AEC76B8F195}"/>
    <cellStyle name="Heading 2 8 4" xfId="1645" xr:uid="{ED703CA1-8976-4478-BE49-C17BA0CE5FF9}"/>
    <cellStyle name="Heading 2 8 5" xfId="1646" xr:uid="{B5906F94-D2DA-439B-BCBE-66FDFDFBE6C8}"/>
    <cellStyle name="Heading 2 8 6" xfId="1647" xr:uid="{5384961A-3274-45C9-94C5-F22E5FFC9578}"/>
    <cellStyle name="Heading 2 8 7" xfId="1648" xr:uid="{063EFBA8-426A-4DF4-8566-998C44CFC25C}"/>
    <cellStyle name="Heading 2 8 8" xfId="3537" xr:uid="{9F4400DA-A34D-4E57-9E8F-5065F245DA60}"/>
    <cellStyle name="Heading 2 8 9" xfId="3538" xr:uid="{3DAD1C54-5D7D-4BB3-951F-945816727AB3}"/>
    <cellStyle name="Heading 2 9" xfId="3539" xr:uid="{D6A84E6A-129B-41DC-9686-FF2C33644259}"/>
    <cellStyle name="Heading 3" xfId="101" builtinId="18" customBuiltin="1"/>
    <cellStyle name="Heading 3 2" xfId="1649" xr:uid="{BE7430C3-1E86-4EC1-B38E-96EAEDBC6790}"/>
    <cellStyle name="Heading 3 2 10" xfId="3540" xr:uid="{AC822849-660A-48B3-AEE1-2934F4EFD32F}"/>
    <cellStyle name="Heading 3 2 11" xfId="3541" xr:uid="{E167F513-0F1E-4B61-B121-33116E30519A}"/>
    <cellStyle name="Heading 3 2 12" xfId="3542" xr:uid="{10626AE4-45CE-45AA-9B01-838A886876C8}"/>
    <cellStyle name="Heading 3 2 2" xfId="1650" xr:uid="{301E5659-F734-4E22-849F-3DBBFDDFC6EE}"/>
    <cellStyle name="Heading 3 2 3" xfId="1651" xr:uid="{74DE7E11-38FC-43E0-ABE9-E687FD7540A5}"/>
    <cellStyle name="Heading 3 2 4" xfId="1652" xr:uid="{FD12E034-91F3-4A97-B049-433542D55A1E}"/>
    <cellStyle name="Heading 3 2 5" xfId="1653" xr:uid="{E1EB30EF-DF60-41DC-9B09-16CB2B668EDD}"/>
    <cellStyle name="Heading 3 2 6" xfId="1654" xr:uid="{6A5F06DC-3DF5-4D2B-A0ED-385F978D8605}"/>
    <cellStyle name="Heading 3 2 7" xfId="1655" xr:uid="{4182B1B2-9BC2-4AAD-9947-35EC6A5DD808}"/>
    <cellStyle name="Heading 3 2 8" xfId="3543" xr:uid="{4B1B70D3-E829-42D5-AB4F-C3350E6DFD34}"/>
    <cellStyle name="Heading 3 2 9" xfId="3544" xr:uid="{F4770D16-2FB7-43F5-97FC-F7EFE763B04C}"/>
    <cellStyle name="Heading 3 3" xfId="1656" xr:uid="{7FC449CD-A6EC-489B-B275-AB3DFAD02071}"/>
    <cellStyle name="Heading 3 3 10" xfId="3545" xr:uid="{F28F233A-440C-49CA-84B8-BE8F53CAFDFE}"/>
    <cellStyle name="Heading 3 3 11" xfId="3546" xr:uid="{52802299-7229-4B80-A329-78D2C4F91630}"/>
    <cellStyle name="Heading 3 3 12" xfId="3547" xr:uid="{429FA818-F3A5-40FB-A0D8-E5F6941E5470}"/>
    <cellStyle name="Heading 3 3 2" xfId="1657" xr:uid="{86AD886A-5CD7-45D2-B870-B0EDAA3AA244}"/>
    <cellStyle name="Heading 3 3 3" xfId="1658" xr:uid="{F6EEFBCC-0834-4658-9B71-BB1BB7F5D8BD}"/>
    <cellStyle name="Heading 3 3 4" xfId="1659" xr:uid="{C9E0FC26-223F-4510-947A-E835B18D5B62}"/>
    <cellStyle name="Heading 3 3 5" xfId="1660" xr:uid="{CEFA49B0-AA56-4F17-8AAC-DB5B7502227D}"/>
    <cellStyle name="Heading 3 3 6" xfId="1661" xr:uid="{C1B0F151-B920-473B-B9B7-1710CF1E6554}"/>
    <cellStyle name="Heading 3 3 7" xfId="1662" xr:uid="{E753A53A-C027-4F6B-BA64-A1B087E9B631}"/>
    <cellStyle name="Heading 3 3 8" xfId="3548" xr:uid="{BD7399EB-4CA9-46A0-935B-C8DF4E42D4F7}"/>
    <cellStyle name="Heading 3 3 9" xfId="3549" xr:uid="{2B236B3E-FB63-4B9A-98BF-22CDCAA1552E}"/>
    <cellStyle name="Heading 3 4" xfId="1663" xr:uid="{A1B05E36-94B4-4F66-8C46-18241CF6631F}"/>
    <cellStyle name="Heading 3 4 10" xfId="3550" xr:uid="{038736F5-F2B3-4078-AB16-9B698404BDB3}"/>
    <cellStyle name="Heading 3 4 11" xfId="3551" xr:uid="{1FED0106-0B3B-4C4E-A402-84ED779AA027}"/>
    <cellStyle name="Heading 3 4 12" xfId="3552" xr:uid="{4EE28C55-60B5-4D56-AEF1-1F328C5DE2EE}"/>
    <cellStyle name="Heading 3 4 2" xfId="1664" xr:uid="{1CB976D1-3F21-4E76-8AA5-0F18F83D9523}"/>
    <cellStyle name="Heading 3 4 3" xfId="1665" xr:uid="{6F0DB6D3-5958-43DC-BA33-858B4E3D8E52}"/>
    <cellStyle name="Heading 3 4 4" xfId="1666" xr:uid="{4D55309F-F2C0-4BA2-82CA-76E92955190C}"/>
    <cellStyle name="Heading 3 4 5" xfId="1667" xr:uid="{C9C4F4DF-8915-4D6A-9933-7668B1A6C6C5}"/>
    <cellStyle name="Heading 3 4 6" xfId="1668" xr:uid="{87325604-005E-47C0-A1C3-FC539572214C}"/>
    <cellStyle name="Heading 3 4 7" xfId="1669" xr:uid="{E9D6185C-679F-4AD9-9204-F3CD278041D9}"/>
    <cellStyle name="Heading 3 4 8" xfId="3553" xr:uid="{01B1B796-A296-4083-B83A-109A60FE2BD3}"/>
    <cellStyle name="Heading 3 4 9" xfId="3554" xr:uid="{EB5F5028-FFD0-4022-AF21-226707D0FF43}"/>
    <cellStyle name="Heading 3 5" xfId="1670" xr:uid="{71DBDC91-EC00-4F8E-B743-D90C4ACDA3BF}"/>
    <cellStyle name="Heading 3 5 10" xfId="3555" xr:uid="{669A5FA6-5BD3-4319-BA1F-0561B7DBD5AB}"/>
    <cellStyle name="Heading 3 5 11" xfId="3556" xr:uid="{264AAC93-8C96-4E46-A108-E615C7788958}"/>
    <cellStyle name="Heading 3 5 12" xfId="3557" xr:uid="{D8FC6C97-B041-422E-8374-1594407A6309}"/>
    <cellStyle name="Heading 3 5 2" xfId="1671" xr:uid="{13612AAD-515E-41A5-97AF-8E6B0A395CB5}"/>
    <cellStyle name="Heading 3 5 3" xfId="1672" xr:uid="{259F584F-F9CA-41B0-BFD7-76950540B25C}"/>
    <cellStyle name="Heading 3 5 4" xfId="1673" xr:uid="{1BCC0DEA-3CA7-4532-84D5-3E658F27BE6C}"/>
    <cellStyle name="Heading 3 5 5" xfId="1674" xr:uid="{B3BCDDC0-E491-4BF2-BCA9-F9BEF50B3C75}"/>
    <cellStyle name="Heading 3 5 6" xfId="1675" xr:uid="{D2992FF0-46F1-4818-B439-9A36A9962731}"/>
    <cellStyle name="Heading 3 5 7" xfId="1676" xr:uid="{87D9ACEE-D517-4817-ACC8-AFFC1707B6A6}"/>
    <cellStyle name="Heading 3 5 8" xfId="3558" xr:uid="{F1F12D88-52F2-4113-9910-D8EA461AB58E}"/>
    <cellStyle name="Heading 3 5 9" xfId="3559" xr:uid="{389D025C-4144-4A24-B420-4F2070A6B84B}"/>
    <cellStyle name="Heading 3 6" xfId="1677" xr:uid="{9D354A4D-EA0B-4421-B8D5-8B1003DCD888}"/>
    <cellStyle name="Heading 3 6 10" xfId="3560" xr:uid="{014E95BE-736C-4707-84C9-7EED5241D1C2}"/>
    <cellStyle name="Heading 3 6 11" xfId="3561" xr:uid="{492FD618-A7EC-44DC-A3D7-2672E37FE92E}"/>
    <cellStyle name="Heading 3 6 12" xfId="3562" xr:uid="{62FB4031-A00D-471E-B272-F2A2267F20E4}"/>
    <cellStyle name="Heading 3 6 2" xfId="1678" xr:uid="{97861395-5B11-410F-B700-A2978EE5D4B6}"/>
    <cellStyle name="Heading 3 6 3" xfId="1679" xr:uid="{15A134AD-7620-4E9C-A3D7-E1337DA65AB7}"/>
    <cellStyle name="Heading 3 6 4" xfId="1680" xr:uid="{860901A3-1F0C-4F5E-A7AF-4341D910AC07}"/>
    <cellStyle name="Heading 3 6 5" xfId="1681" xr:uid="{C8BC814E-444A-42B1-838C-C7245F7B590E}"/>
    <cellStyle name="Heading 3 6 6" xfId="1682" xr:uid="{8A166579-88E5-46B0-9A18-0CA0275EF57C}"/>
    <cellStyle name="Heading 3 6 7" xfId="1683" xr:uid="{5EE394CF-2341-448D-B1F6-84006F0398BA}"/>
    <cellStyle name="Heading 3 6 8" xfId="3563" xr:uid="{274B70F2-B321-4565-83EA-F20BB6B8A65B}"/>
    <cellStyle name="Heading 3 6 9" xfId="3564" xr:uid="{210FB6FE-3E2D-4F37-AFA3-4C20F8B95B82}"/>
    <cellStyle name="Heading 3 7" xfId="1684" xr:uid="{197A8BFD-CFF7-4895-B4D7-50E8D45203C1}"/>
    <cellStyle name="Heading 3 7 10" xfId="3565" xr:uid="{80ED8C64-C5E5-4B06-AB31-5BB588908FBB}"/>
    <cellStyle name="Heading 3 7 11" xfId="3566" xr:uid="{1E710AF3-F7D8-4023-856E-451738AFF7E9}"/>
    <cellStyle name="Heading 3 7 12" xfId="3567" xr:uid="{7355902C-0EC4-4478-AFD7-DA6F6CF5E43E}"/>
    <cellStyle name="Heading 3 7 2" xfId="1685" xr:uid="{E6B42B7D-ED1B-4D9B-B507-5050ABD53A45}"/>
    <cellStyle name="Heading 3 7 3" xfId="1686" xr:uid="{9F39A1E5-3F40-49F8-A1E1-82226B1FA0AD}"/>
    <cellStyle name="Heading 3 7 4" xfId="1687" xr:uid="{56172C86-A1B9-46FE-9BAA-F489D62199A0}"/>
    <cellStyle name="Heading 3 7 5" xfId="1688" xr:uid="{1E73E59D-AD63-4083-A9B0-21DFA07EF6AF}"/>
    <cellStyle name="Heading 3 7 6" xfId="1689" xr:uid="{783C3D0D-5A02-44D0-8BC3-E0FCA63B0C85}"/>
    <cellStyle name="Heading 3 7 7" xfId="1690" xr:uid="{FBCCF0AD-7465-4C38-95F7-862274E794CA}"/>
    <cellStyle name="Heading 3 7 8" xfId="3568" xr:uid="{0CFC24F8-3BF6-4C8B-B17F-8F3D36AF5879}"/>
    <cellStyle name="Heading 3 7 9" xfId="3569" xr:uid="{6443A40C-E9D5-41BE-90E2-2D01BBBE4B11}"/>
    <cellStyle name="Heading 3 8" xfId="1691" xr:uid="{4E4330DD-646A-419E-BA1E-7D4FF2A768AB}"/>
    <cellStyle name="Heading 3 8 10" xfId="3570" xr:uid="{4D7FD0B2-6238-4D79-8058-EAF8F8701F86}"/>
    <cellStyle name="Heading 3 8 11" xfId="3571" xr:uid="{9F13B885-E553-4F0F-93FB-6881D248462D}"/>
    <cellStyle name="Heading 3 8 12" xfId="3572" xr:uid="{CE410608-2832-4036-8E39-F1A486522756}"/>
    <cellStyle name="Heading 3 8 2" xfId="1692" xr:uid="{B6A36D1D-9C1C-416D-8937-C9485900C8BD}"/>
    <cellStyle name="Heading 3 8 3" xfId="1693" xr:uid="{40751140-4726-49A8-8429-B1318D969A47}"/>
    <cellStyle name="Heading 3 8 4" xfId="1694" xr:uid="{E1A20E62-635E-4CE8-84A3-C35A8536F778}"/>
    <cellStyle name="Heading 3 8 5" xfId="1695" xr:uid="{C62C9EE2-DC17-4296-BE83-D1C76A0CC096}"/>
    <cellStyle name="Heading 3 8 6" xfId="1696" xr:uid="{430DA298-B708-44C8-B8D5-17287F4312C1}"/>
    <cellStyle name="Heading 3 8 7" xfId="1697" xr:uid="{C61354F2-1490-4395-A27B-EFA462D3B37F}"/>
    <cellStyle name="Heading 3 8 8" xfId="3573" xr:uid="{74EA5F31-C3C2-453C-8E9D-08BAE1CD83AC}"/>
    <cellStyle name="Heading 3 8 9" xfId="3574" xr:uid="{2E45FBB2-8993-41A3-9C39-A146A64EBED7}"/>
    <cellStyle name="Heading 3 9" xfId="3575" xr:uid="{A2218669-0C3F-4279-AFAB-1D09A8D5240C}"/>
    <cellStyle name="Heading 4" xfId="102" builtinId="19" customBuiltin="1"/>
    <cellStyle name="Heading 4 2" xfId="1698" xr:uid="{0D024835-661A-4A2F-A274-32E16015D3C9}"/>
    <cellStyle name="Heading 4 2 10" xfId="3576" xr:uid="{0A326FAD-7111-4F48-AC19-7C4A4915FA89}"/>
    <cellStyle name="Heading 4 2 11" xfId="3577" xr:uid="{3ABBD989-1C5D-4C5C-A51E-6DDA4F9C541D}"/>
    <cellStyle name="Heading 4 2 12" xfId="3578" xr:uid="{77218E21-9A71-4C68-BD97-E82922596DA7}"/>
    <cellStyle name="Heading 4 2 2" xfId="1699" xr:uid="{5769030E-A775-4665-B34C-7D5BA8269379}"/>
    <cellStyle name="Heading 4 2 3" xfId="1700" xr:uid="{6021FB04-7297-4D4E-9A55-0910DAB72352}"/>
    <cellStyle name="Heading 4 2 4" xfId="1701" xr:uid="{BABB9318-8F4F-4BD2-8F61-00A7E3FAEA6E}"/>
    <cellStyle name="Heading 4 2 5" xfId="1702" xr:uid="{A32EFF84-E46C-4488-A0F9-5D70FB673966}"/>
    <cellStyle name="Heading 4 2 6" xfId="1703" xr:uid="{7E4E7390-56C2-412E-BDD5-D3EC27A78F42}"/>
    <cellStyle name="Heading 4 2 7" xfId="1704" xr:uid="{6ED20877-1C09-4F35-AF97-210704FF4F4E}"/>
    <cellStyle name="Heading 4 2 8" xfId="3579" xr:uid="{DF71E29B-72EE-4024-B844-2F669A259CB1}"/>
    <cellStyle name="Heading 4 2 9" xfId="3580" xr:uid="{6415D17C-E882-4DED-B9FD-E4FEDDDCCBEC}"/>
    <cellStyle name="Heading 4 3" xfId="1705" xr:uid="{F197D754-42E9-42D3-91C7-154ED7E5CCF8}"/>
    <cellStyle name="Heading 4 3 10" xfId="3581" xr:uid="{9CE5F358-FCBF-4D18-86F8-AEAFE5DAC1A0}"/>
    <cellStyle name="Heading 4 3 11" xfId="3582" xr:uid="{C3667F66-735A-4CC4-83DA-C0EE0BB498DD}"/>
    <cellStyle name="Heading 4 3 12" xfId="3583" xr:uid="{B0BD28E4-00F6-492A-9AB4-5886D9386633}"/>
    <cellStyle name="Heading 4 3 2" xfId="1706" xr:uid="{0F8F0D61-2050-4B29-B45B-737E83F195D8}"/>
    <cellStyle name="Heading 4 3 3" xfId="1707" xr:uid="{B9D7E059-32DF-4760-82DA-63B53EC430C3}"/>
    <cellStyle name="Heading 4 3 4" xfId="1708" xr:uid="{A9F4CF57-1AD8-4887-A47D-14E8C4EEDB4F}"/>
    <cellStyle name="Heading 4 3 5" xfId="1709" xr:uid="{01028E04-7AFC-429B-B160-A59B44E929DD}"/>
    <cellStyle name="Heading 4 3 6" xfId="1710" xr:uid="{A624B061-EF9A-4016-A1F6-AB9C67121E9F}"/>
    <cellStyle name="Heading 4 3 7" xfId="1711" xr:uid="{81D8B3AE-40D4-46DF-94BC-8C6EAC53D554}"/>
    <cellStyle name="Heading 4 3 8" xfId="3584" xr:uid="{3C7C800E-F957-47D9-8995-941E0936021B}"/>
    <cellStyle name="Heading 4 3 9" xfId="3585" xr:uid="{50B56A8B-CA0A-40E6-A57D-683B6C35C2E3}"/>
    <cellStyle name="Heading 4 4" xfId="1712" xr:uid="{AB2D4E3C-F173-4BF8-B49D-B499DF0DF009}"/>
    <cellStyle name="Heading 4 4 10" xfId="3586" xr:uid="{4A8D7397-C572-4C64-8E88-461931970BF8}"/>
    <cellStyle name="Heading 4 4 11" xfId="3587" xr:uid="{51DA2972-5A96-40A8-AEF9-415A2259BC72}"/>
    <cellStyle name="Heading 4 4 12" xfId="3588" xr:uid="{1AF68627-2B2E-4E8B-9421-931F0EC23A8C}"/>
    <cellStyle name="Heading 4 4 2" xfId="1713" xr:uid="{7F12FE43-9A36-4C56-ACD8-128A7B7B7769}"/>
    <cellStyle name="Heading 4 4 3" xfId="1714" xr:uid="{FDE50EEE-B1D8-4B50-A3F2-EAD1F36C6607}"/>
    <cellStyle name="Heading 4 4 4" xfId="1715" xr:uid="{D5BE7DEB-C928-47CD-B4BA-D8CE519CA538}"/>
    <cellStyle name="Heading 4 4 5" xfId="1716" xr:uid="{371FE123-EECD-4B79-B989-EC1FC634ACD9}"/>
    <cellStyle name="Heading 4 4 6" xfId="1717" xr:uid="{CBB05B75-D269-45A0-B7CE-151256A2291E}"/>
    <cellStyle name="Heading 4 4 7" xfId="1718" xr:uid="{62EBBA19-5229-41F4-826A-F1F62A2A0D15}"/>
    <cellStyle name="Heading 4 4 8" xfId="3589" xr:uid="{236D2D35-8437-458F-9DF5-BA1F6362EC2C}"/>
    <cellStyle name="Heading 4 4 9" xfId="3590" xr:uid="{AA194A79-5C4C-4910-B77A-7012C2175267}"/>
    <cellStyle name="Heading 4 5" xfId="1719" xr:uid="{4CC2DB24-8688-46EB-936D-27EA34BD7A57}"/>
    <cellStyle name="Heading 4 5 10" xfId="3591" xr:uid="{1F1089F2-4825-40A9-B8AA-0B300E3DF4D8}"/>
    <cellStyle name="Heading 4 5 11" xfId="3592" xr:uid="{31526C4A-4057-476A-959F-CE086A4416CA}"/>
    <cellStyle name="Heading 4 5 12" xfId="3593" xr:uid="{CEAE77B2-D688-4F97-89FA-55E6475BC325}"/>
    <cellStyle name="Heading 4 5 2" xfId="1720" xr:uid="{5A1BB237-5ACF-48A4-A94A-07149843562E}"/>
    <cellStyle name="Heading 4 5 3" xfId="1721" xr:uid="{C3019863-E3B2-4EAE-A10A-ECFEA9EF4245}"/>
    <cellStyle name="Heading 4 5 4" xfId="1722" xr:uid="{D8666E3D-7342-4630-BAE5-04530A903BBD}"/>
    <cellStyle name="Heading 4 5 5" xfId="1723" xr:uid="{7128F1B8-7F46-47BD-943B-B6685DE100F9}"/>
    <cellStyle name="Heading 4 5 6" xfId="1724" xr:uid="{9C90E5CB-954D-46FE-8A92-5D3C8E3C323C}"/>
    <cellStyle name="Heading 4 5 7" xfId="1725" xr:uid="{8C31143F-37F9-4E90-8096-AE605D099667}"/>
    <cellStyle name="Heading 4 5 8" xfId="3594" xr:uid="{C079C783-0C66-4606-922A-477B9932D88F}"/>
    <cellStyle name="Heading 4 5 9" xfId="3595" xr:uid="{63090358-07DD-44EB-B241-3F3B7ECE5FE5}"/>
    <cellStyle name="Heading 4 6" xfId="1726" xr:uid="{16C93298-471F-4AC4-9765-0D0D0E9E9385}"/>
    <cellStyle name="Heading 4 6 10" xfId="3596" xr:uid="{C30B951B-A512-463F-9B76-211DB8CE13B0}"/>
    <cellStyle name="Heading 4 6 11" xfId="3597" xr:uid="{6410EB83-E5F9-4BA0-A986-F63CCDDE2014}"/>
    <cellStyle name="Heading 4 6 12" xfId="3598" xr:uid="{4D7CDA93-4789-4D9E-86A7-7082EDB06E5B}"/>
    <cellStyle name="Heading 4 6 2" xfId="1727" xr:uid="{080C5C15-1123-49E0-8D83-11FFC8A1D21E}"/>
    <cellStyle name="Heading 4 6 3" xfId="1728" xr:uid="{B8024917-F0A2-4DFC-A34E-DCA446363659}"/>
    <cellStyle name="Heading 4 6 4" xfId="1729" xr:uid="{A5810A33-0F5A-42BA-80CC-4FA85D351BB2}"/>
    <cellStyle name="Heading 4 6 5" xfId="1730" xr:uid="{D7D1025C-DE88-4B71-86D7-A6A1ACCF852F}"/>
    <cellStyle name="Heading 4 6 6" xfId="1731" xr:uid="{8626FB2A-F361-4933-88B9-B06F7978871F}"/>
    <cellStyle name="Heading 4 6 7" xfId="1732" xr:uid="{7C42B1A6-7A4E-4A65-8DF6-89A543D69A5C}"/>
    <cellStyle name="Heading 4 6 8" xfId="3599" xr:uid="{00FC5064-8480-4729-99F1-27E25A112737}"/>
    <cellStyle name="Heading 4 6 9" xfId="3600" xr:uid="{1C24D96B-7194-4C89-9B35-148D10ED576A}"/>
    <cellStyle name="Heading 4 7" xfId="1733" xr:uid="{9E838B9E-95D8-40EB-A4CC-07184C755D09}"/>
    <cellStyle name="Heading 4 7 10" xfId="3601" xr:uid="{79904EDD-D1D3-41C1-9148-A8BF999A661D}"/>
    <cellStyle name="Heading 4 7 11" xfId="3602" xr:uid="{C00C1554-670A-422B-8753-96EF77B7FC7A}"/>
    <cellStyle name="Heading 4 7 12" xfId="3603" xr:uid="{06ADB1EA-7B48-4637-AFA8-60B1241EA24C}"/>
    <cellStyle name="Heading 4 7 2" xfId="1734" xr:uid="{0C7FF89E-7D85-4816-AF70-E2BD89B0AB98}"/>
    <cellStyle name="Heading 4 7 3" xfId="1735" xr:uid="{6D0882C5-2E9D-4063-8378-266B6BB7927C}"/>
    <cellStyle name="Heading 4 7 4" xfId="1736" xr:uid="{C2CA13A0-84D8-4776-BB04-6B0D5B7CD551}"/>
    <cellStyle name="Heading 4 7 5" xfId="1737" xr:uid="{F5977796-8C67-4D8E-ADBA-CDA16A3CE5D8}"/>
    <cellStyle name="Heading 4 7 6" xfId="1738" xr:uid="{05739B8B-F2E0-493E-96C7-1D230D4DD9B8}"/>
    <cellStyle name="Heading 4 7 7" xfId="1739" xr:uid="{02B0A879-6200-49BB-95D9-41F74C1B450B}"/>
    <cellStyle name="Heading 4 7 8" xfId="3604" xr:uid="{87024360-A51C-444C-BBF3-C7F7F62620BD}"/>
    <cellStyle name="Heading 4 7 9" xfId="3605" xr:uid="{59C710A3-AD6E-4975-9C81-B7DD7B72DD6D}"/>
    <cellStyle name="Heading 4 8" xfId="1740" xr:uid="{78FBCD18-E765-4244-A74A-AFC4CD4DD5E5}"/>
    <cellStyle name="Heading 4 8 10" xfId="3606" xr:uid="{90B02F75-6BE3-4980-A993-31F6480BB5DC}"/>
    <cellStyle name="Heading 4 8 11" xfId="3607" xr:uid="{78F4E85E-F565-4469-A794-77C695FB531B}"/>
    <cellStyle name="Heading 4 8 12" xfId="3608" xr:uid="{A793857D-C091-4382-A84D-7BA508725120}"/>
    <cellStyle name="Heading 4 8 2" xfId="1741" xr:uid="{01E7BAB4-F7BD-4A15-8557-EE73ADA99F2A}"/>
    <cellStyle name="Heading 4 8 3" xfId="1742" xr:uid="{1C0F618C-ADA9-4251-A4CF-58DE9058D70A}"/>
    <cellStyle name="Heading 4 8 4" xfId="1743" xr:uid="{22E98AE2-C004-41F4-8A5F-F03762448EE6}"/>
    <cellStyle name="Heading 4 8 5" xfId="1744" xr:uid="{BAD05296-E72A-4186-9B59-7F6625338302}"/>
    <cellStyle name="Heading 4 8 6" xfId="1745" xr:uid="{E4D6D41E-6739-407B-8C15-013884808A67}"/>
    <cellStyle name="Heading 4 8 7" xfId="1746" xr:uid="{BD4A44E9-9540-4312-AFD3-40827436DE58}"/>
    <cellStyle name="Heading 4 8 8" xfId="3609" xr:uid="{A474A2E4-A9CA-45D5-B82F-BE39F1C36FCE}"/>
    <cellStyle name="Heading 4 8 9" xfId="3610" xr:uid="{86BA4461-AF0F-4B60-8A5F-109E403C960F}"/>
    <cellStyle name="Heading 4 9" xfId="3611" xr:uid="{3EC7A19D-6C38-4F1D-83D7-9F0053F11BF9}"/>
    <cellStyle name="Hyperlink" xfId="4896" builtinId="8"/>
    <cellStyle name="Hyperlink seguido" xfId="1747" xr:uid="{24F22F2B-9793-4F81-9F1E-1E4B81ABEDA8}"/>
    <cellStyle name="Incorreto" xfId="92" xr:uid="{D575417D-FE00-4BDB-B62F-86349ABD7353}"/>
    <cellStyle name="Input 2" xfId="1748" xr:uid="{A982F39D-E433-4991-B3C2-81960F26F7CE}"/>
    <cellStyle name="Input 2 10" xfId="3613" xr:uid="{AEA0E5F7-936D-4986-A047-386234B7C924}"/>
    <cellStyle name="Input 2 10 2" xfId="4261" xr:uid="{4A76A631-5D7C-4206-95EC-D8C0B073B164}"/>
    <cellStyle name="Input 2 10 2 2" xfId="4744" xr:uid="{E3C6C67C-BE6C-4410-A4AB-EF8B2A106179}"/>
    <cellStyle name="Input 2 10 3" xfId="4623" xr:uid="{ECB8D74E-5EB7-49AC-93E2-B0935B02450F}"/>
    <cellStyle name="Input 2 11" xfId="3614" xr:uid="{C798ED4C-67F3-4596-87F0-958D44A516C1}"/>
    <cellStyle name="Input 2 11 2" xfId="4262" xr:uid="{3555E2F4-B799-468B-95BC-BF6D34FC4C2C}"/>
    <cellStyle name="Input 2 11 2 2" xfId="4745" xr:uid="{9E504DF9-0DB1-4E1B-9337-94AD5622009E}"/>
    <cellStyle name="Input 2 11 3" xfId="4624" xr:uid="{365AA9EA-E070-4A2A-8E5B-C6513FD8ADBE}"/>
    <cellStyle name="Input 2 12" xfId="3615" xr:uid="{E988A555-C9D4-48E8-BEDE-0AAED17D1D10}"/>
    <cellStyle name="Input 2 12 2" xfId="4263" xr:uid="{D0E2C08F-049A-4C5D-853C-7D63408B8AA8}"/>
    <cellStyle name="Input 2 12 2 2" xfId="4746" xr:uid="{92CDDEAA-72CB-4DE6-8CB3-2D8AA0401D90}"/>
    <cellStyle name="Input 2 12 3" xfId="4625" xr:uid="{9A0A0E55-1406-421D-B54A-EC83D9AF49E0}"/>
    <cellStyle name="Input 2 2" xfId="1749" xr:uid="{FA9ACC2F-2333-433B-BF06-949002D58B7F}"/>
    <cellStyle name="Input 2 3" xfId="1750" xr:uid="{220029F8-5091-4BB7-AC31-2B052FD2020F}"/>
    <cellStyle name="Input 2 4" xfId="1751" xr:uid="{7E5E9DBC-25E5-48B4-A3B9-31F867F908B7}"/>
    <cellStyle name="Input 2 5" xfId="1752" xr:uid="{0B5416B7-1CDB-4D4B-A7C5-DBA52EAF99AA}"/>
    <cellStyle name="Input 2 6" xfId="1753" xr:uid="{382B332E-8820-427C-A0B2-D1DDF3A0176A}"/>
    <cellStyle name="Input 2 7" xfId="1754" xr:uid="{08249971-4E83-4104-9DD9-28AD9EF6F190}"/>
    <cellStyle name="Input 2 8" xfId="3616" xr:uid="{BC0E29A5-3849-44E0-8D71-1A3A8B71D054}"/>
    <cellStyle name="Input 2 8 2" xfId="4264" xr:uid="{1885EF7B-030F-44C4-9C02-4503BF686C43}"/>
    <cellStyle name="Input 2 8 2 2" xfId="4747" xr:uid="{E5CC7FFD-31BD-4046-A23D-EABBE0E1DF0E}"/>
    <cellStyle name="Input 2 8 3" xfId="4626" xr:uid="{093C7F21-3CD5-49CD-AAB2-0FDAA0F65C80}"/>
    <cellStyle name="Input 2 9" xfId="3617" xr:uid="{8116D316-3233-47A7-A742-E712E1BC254D}"/>
    <cellStyle name="Input 2 9 2" xfId="4265" xr:uid="{26D96CA8-312C-4A52-95B9-F08421FA3EE0}"/>
    <cellStyle name="Input 2 9 2 2" xfId="4748" xr:uid="{50319ABC-1976-438C-9E42-6D57BE1D4F6E}"/>
    <cellStyle name="Input 2 9 3" xfId="4627" xr:uid="{8B22BC53-2D5E-4F60-80EB-66AC84180B7E}"/>
    <cellStyle name="Input 2_Trimestral" xfId="3612" xr:uid="{762D22B0-53B4-407F-B150-D3660C981938}"/>
    <cellStyle name="Input 3" xfId="1755" xr:uid="{046AE591-760D-4AE6-955A-6C691270B57A}"/>
    <cellStyle name="Input 3 10" xfId="3619" xr:uid="{004C43E4-FD50-45C6-87A0-87F1A61767BA}"/>
    <cellStyle name="Input 3 10 2" xfId="4266" xr:uid="{EBD70AB1-EDEF-4DAE-B647-50B80E1CE4F2}"/>
    <cellStyle name="Input 3 10 2 2" xfId="4749" xr:uid="{89A95CA5-E8C4-4D28-BECD-880D41A506BF}"/>
    <cellStyle name="Input 3 10 3" xfId="4628" xr:uid="{4EF5F41E-064D-45E9-B38F-918541AB0DE8}"/>
    <cellStyle name="Input 3 11" xfId="3620" xr:uid="{82DDCDF9-5BE4-43FD-99A3-B6C712269253}"/>
    <cellStyle name="Input 3 11 2" xfId="4267" xr:uid="{72A9F9D8-FDA2-4066-BA3E-A21706015892}"/>
    <cellStyle name="Input 3 11 2 2" xfId="4750" xr:uid="{34F90709-7A61-4D17-870E-D72DD5ECCA3D}"/>
    <cellStyle name="Input 3 11 3" xfId="4629" xr:uid="{64C7BFB5-DED1-48D1-81B7-2BC4B8BC2600}"/>
    <cellStyle name="Input 3 12" xfId="3621" xr:uid="{34FC713C-7395-4B74-9F3E-2DA9E10129A1}"/>
    <cellStyle name="Input 3 12 2" xfId="4268" xr:uid="{215922D3-EBE9-429A-9CCB-13B400CC1214}"/>
    <cellStyle name="Input 3 12 2 2" xfId="4751" xr:uid="{83B4FC1D-66C8-4372-AFF5-19FDA19B6B17}"/>
    <cellStyle name="Input 3 12 3" xfId="4630" xr:uid="{E9B91B96-16DA-43A4-AD72-1BD16F302B5E}"/>
    <cellStyle name="Input 3 2" xfId="1756" xr:uid="{6D51C0D6-9160-4448-A685-8907508AF1FC}"/>
    <cellStyle name="Input 3 3" xfId="1757" xr:uid="{2B840A84-00A0-4C85-8E90-90BEC43A5812}"/>
    <cellStyle name="Input 3 4" xfId="1758" xr:uid="{61EBE11C-193F-488C-812C-7052E34D9F13}"/>
    <cellStyle name="Input 3 5" xfId="1759" xr:uid="{9181D4F1-1154-40C2-8F2A-A1AEEFAEAC02}"/>
    <cellStyle name="Input 3 6" xfId="1760" xr:uid="{F52D9538-18BE-4735-B518-22D40D3B8264}"/>
    <cellStyle name="Input 3 7" xfId="1761" xr:uid="{C9CFD6F9-6932-4922-99E8-94988896175C}"/>
    <cellStyle name="Input 3 8" xfId="3622" xr:uid="{D2E8873E-9638-4989-89BB-A263A6420436}"/>
    <cellStyle name="Input 3 8 2" xfId="4269" xr:uid="{043E399C-A50C-44D0-8264-3B7315E8E7D8}"/>
    <cellStyle name="Input 3 8 2 2" xfId="4752" xr:uid="{E65E8707-CB58-4B73-8ABE-C7D57A76811E}"/>
    <cellStyle name="Input 3 8 3" xfId="4631" xr:uid="{E5A90CEA-C352-4882-8292-3AB00A6E8D6F}"/>
    <cellStyle name="Input 3 9" xfId="3623" xr:uid="{F9753C40-2B72-4DCE-8569-D077DD7F998F}"/>
    <cellStyle name="Input 3 9 2" xfId="4270" xr:uid="{9EBAEF7E-85B8-4D79-82D0-EAB81F56DD91}"/>
    <cellStyle name="Input 3 9 2 2" xfId="4753" xr:uid="{FADFBE56-4C65-4044-AFF1-4410C237CAFA}"/>
    <cellStyle name="Input 3 9 3" xfId="4632" xr:uid="{040EB192-8BBC-4EE2-AC6E-9B2288E9A369}"/>
    <cellStyle name="Input 3_Trimestral" xfId="3618" xr:uid="{45F2827D-EA16-4E6D-BCEF-F32439CDEAA9}"/>
    <cellStyle name="Input 4" xfId="1762" xr:uid="{B573CEC6-5EF0-4760-AB84-A79E9A3DC0F7}"/>
    <cellStyle name="Input 4 10" xfId="3625" xr:uid="{836F1DC2-7B85-41C2-9D76-71B02BF4417A}"/>
    <cellStyle name="Input 4 10 2" xfId="4271" xr:uid="{A5D47B40-1F20-4BDF-9C77-1F75006DDA91}"/>
    <cellStyle name="Input 4 10 2 2" xfId="4754" xr:uid="{476C880F-1B36-4163-95AC-2CABA84902AC}"/>
    <cellStyle name="Input 4 10 3" xfId="4633" xr:uid="{662C5BA3-996D-41BF-BE34-5C86BE629E66}"/>
    <cellStyle name="Input 4 11" xfId="3626" xr:uid="{7FF7A202-CFA8-422F-86F1-AB6AD625E313}"/>
    <cellStyle name="Input 4 11 2" xfId="4272" xr:uid="{FCE25A0B-C529-42A6-AB54-A93D2153440B}"/>
    <cellStyle name="Input 4 11 2 2" xfId="4755" xr:uid="{BFDBC955-9E16-4546-9E03-072EA105917C}"/>
    <cellStyle name="Input 4 11 3" xfId="4634" xr:uid="{7F2EF606-922D-49CB-9BFF-E63DD0C50212}"/>
    <cellStyle name="Input 4 12" xfId="3627" xr:uid="{FED87AA4-A4E7-4F72-8650-8D50EA6DB778}"/>
    <cellStyle name="Input 4 12 2" xfId="4273" xr:uid="{879B118C-90C5-45CA-8652-32D69FFF22EF}"/>
    <cellStyle name="Input 4 12 2 2" xfId="4756" xr:uid="{D0D09444-9E6F-4515-9EA6-A79D4D26FA27}"/>
    <cellStyle name="Input 4 12 3" xfId="4635" xr:uid="{771063DB-6E3C-4C85-90AF-A8D1118FF7D8}"/>
    <cellStyle name="Input 4 2" xfId="1763" xr:uid="{20510699-49A1-4ECB-80E2-22752AEE4671}"/>
    <cellStyle name="Input 4 3" xfId="1764" xr:uid="{62F2FA4C-DFB2-49B7-B7A0-90BDCFEAD4A4}"/>
    <cellStyle name="Input 4 4" xfId="1765" xr:uid="{3E2940AA-0BE5-4A8D-87FE-93F54D031286}"/>
    <cellStyle name="Input 4 5" xfId="1766" xr:uid="{5D7150E6-BB71-45D7-8B16-8C91C3138F2A}"/>
    <cellStyle name="Input 4 6" xfId="1767" xr:uid="{EDEE121D-9018-48C8-857F-7D0543672BC9}"/>
    <cellStyle name="Input 4 7" xfId="1768" xr:uid="{6F9A0EB1-4B82-46E7-8426-E0E6CDE9C506}"/>
    <cellStyle name="Input 4 8" xfId="3628" xr:uid="{13AE5726-A659-4BA5-A94D-ACB3C2A08BBB}"/>
    <cellStyle name="Input 4 8 2" xfId="4274" xr:uid="{C5088C29-7017-413C-8F0F-60B825017E68}"/>
    <cellStyle name="Input 4 8 2 2" xfId="4757" xr:uid="{9340310E-15A8-43B3-9353-014C8CF56EA5}"/>
    <cellStyle name="Input 4 8 3" xfId="4636" xr:uid="{829BF948-105F-4D0F-B302-D01844C75E3B}"/>
    <cellStyle name="Input 4 9" xfId="3629" xr:uid="{A469DAB3-E1B4-44B7-BD81-FC68645A0065}"/>
    <cellStyle name="Input 4 9 2" xfId="4275" xr:uid="{012D3FB4-7C66-40A6-8C44-99E4F81A83DC}"/>
    <cellStyle name="Input 4 9 2 2" xfId="4758" xr:uid="{7459E512-EC77-4984-BA99-74625713F5AD}"/>
    <cellStyle name="Input 4 9 3" xfId="4637" xr:uid="{39BC824D-7AF3-443A-9158-14BCA1921C6C}"/>
    <cellStyle name="Input 4_Trimestral" xfId="3624" xr:uid="{76DCB109-F85F-4E11-B2B5-7DE66DF26561}"/>
    <cellStyle name="Input 5" xfId="1769" xr:uid="{F0EA4DDB-CC33-4E72-BB7D-8E3E7D4FCC8E}"/>
    <cellStyle name="Input 5 10" xfId="3631" xr:uid="{301C31D6-B461-4412-B77F-75D48DF9B86A}"/>
    <cellStyle name="Input 5 10 2" xfId="4276" xr:uid="{BA25B0EE-9269-4EAE-A49F-C2428257BE8F}"/>
    <cellStyle name="Input 5 10 2 2" xfId="4759" xr:uid="{04D0CECA-AA8D-40EB-9475-25671575D7FF}"/>
    <cellStyle name="Input 5 10 3" xfId="4638" xr:uid="{404D7881-63A1-4AE6-A79D-F720246A1D81}"/>
    <cellStyle name="Input 5 11" xfId="3632" xr:uid="{008ED28A-629A-4C47-978B-DFC9B69B7F5C}"/>
    <cellStyle name="Input 5 11 2" xfId="4277" xr:uid="{1472D217-BE13-4D67-9EC8-4A744DEA0825}"/>
    <cellStyle name="Input 5 11 2 2" xfId="4760" xr:uid="{11D7F5E9-4481-4C0F-8946-AD346EDC78B5}"/>
    <cellStyle name="Input 5 11 3" xfId="4639" xr:uid="{51CDD6FE-5FB1-470D-9F83-6A54F5FEAD83}"/>
    <cellStyle name="Input 5 12" xfId="3633" xr:uid="{597CE840-0E75-4FE7-9C31-80ABDDA5879E}"/>
    <cellStyle name="Input 5 12 2" xfId="4278" xr:uid="{E4174E36-7BC2-4B34-A78E-9B19C4FBFFF2}"/>
    <cellStyle name="Input 5 12 2 2" xfId="4761" xr:uid="{9CC3D26B-391D-4AFD-8608-38242695BAAD}"/>
    <cellStyle name="Input 5 12 3" xfId="4640" xr:uid="{35CCC996-12DE-4C51-A33C-66C573676FFF}"/>
    <cellStyle name="Input 5 2" xfId="1770" xr:uid="{0D989805-E935-4F28-B97E-3A92C3A2939D}"/>
    <cellStyle name="Input 5 3" xfId="1771" xr:uid="{2DBC7220-6B5C-496B-A6E4-1EB7120BD215}"/>
    <cellStyle name="Input 5 4" xfId="1772" xr:uid="{A6D740F6-C6E6-4F99-9956-59C773CC77B1}"/>
    <cellStyle name="Input 5 5" xfId="1773" xr:uid="{81C7E4D9-47BC-449D-A11B-7E62929CD2BB}"/>
    <cellStyle name="Input 5 6" xfId="1774" xr:uid="{D45229B6-2E3B-4DF8-BAFA-47F384B7EE64}"/>
    <cellStyle name="Input 5 7" xfId="1775" xr:uid="{7BE4CA51-F375-494B-89C1-5C923E039D44}"/>
    <cellStyle name="Input 5 8" xfId="3634" xr:uid="{3B37ACAD-21E7-4B74-AE61-89F9F9EA4598}"/>
    <cellStyle name="Input 5 8 2" xfId="4279" xr:uid="{8474856C-B268-4C7A-BFEA-016C840B829F}"/>
    <cellStyle name="Input 5 8 2 2" xfId="4762" xr:uid="{3B44E968-75C3-4485-B1EC-B70D780FE8FA}"/>
    <cellStyle name="Input 5 8 3" xfId="4641" xr:uid="{E29A0EF1-709D-47DE-9DC9-EEA9206D642F}"/>
    <cellStyle name="Input 5 9" xfId="3635" xr:uid="{96D2C2FD-464D-43D3-9C52-D09E5BA6D9CE}"/>
    <cellStyle name="Input 5 9 2" xfId="4280" xr:uid="{3008877E-6BA8-45A8-AF72-B659C671C9F3}"/>
    <cellStyle name="Input 5 9 2 2" xfId="4763" xr:uid="{BEE65569-C38D-440D-AC50-707870C3F1A2}"/>
    <cellStyle name="Input 5 9 3" xfId="4642" xr:uid="{A45BCF02-C9B9-4C34-9DAE-1991904084B1}"/>
    <cellStyle name="Input 5_Trimestral" xfId="3630" xr:uid="{599853D9-CD05-457D-B045-B174E258E30A}"/>
    <cellStyle name="Input 6" xfId="1776" xr:uid="{E7862E70-A2E0-468E-931F-0197E013736D}"/>
    <cellStyle name="Input 6 10" xfId="3637" xr:uid="{250D7A2B-A382-4B15-A1E3-5FBCD7B59F99}"/>
    <cellStyle name="Input 6 10 2" xfId="4281" xr:uid="{933C548D-49D9-4845-A696-B168FB90EF0F}"/>
    <cellStyle name="Input 6 10 2 2" xfId="4764" xr:uid="{79314F1D-8AFE-4D65-AEB2-3811F52FE254}"/>
    <cellStyle name="Input 6 10 3" xfId="4643" xr:uid="{41DC42D2-F70A-4AF5-B1F7-B9E4D551C1DC}"/>
    <cellStyle name="Input 6 11" xfId="3638" xr:uid="{4B58C29D-10AF-41C3-BF48-BF56C3591769}"/>
    <cellStyle name="Input 6 11 2" xfId="4282" xr:uid="{2897C9D6-C657-4DDD-B782-215C99D4D2C1}"/>
    <cellStyle name="Input 6 11 2 2" xfId="4765" xr:uid="{B47B77FF-9ACE-4BF3-A9B2-3A62859DCBB7}"/>
    <cellStyle name="Input 6 11 3" xfId="4644" xr:uid="{BFA1A305-03EB-4EE1-A8AE-980F6C844D22}"/>
    <cellStyle name="Input 6 12" xfId="3639" xr:uid="{2A5C57CC-4D87-4972-B33D-3EE369E6A8A8}"/>
    <cellStyle name="Input 6 12 2" xfId="4283" xr:uid="{9BAB2DAA-BB88-41A6-BFE5-2AD09A47432F}"/>
    <cellStyle name="Input 6 12 2 2" xfId="4766" xr:uid="{B244079D-8B7E-420D-8DC6-3C3DBA3948B6}"/>
    <cellStyle name="Input 6 12 3" xfId="4645" xr:uid="{2FF7A488-650C-43CA-9B41-791F5243FDCD}"/>
    <cellStyle name="Input 6 2" xfId="1777" xr:uid="{CF943EF2-C5CE-4C4F-B6B2-93B5D7D4CB53}"/>
    <cellStyle name="Input 6 3" xfId="1778" xr:uid="{CC40A1AC-E6EB-40AD-BE48-7687DE41A246}"/>
    <cellStyle name="Input 6 4" xfId="1779" xr:uid="{2164EAE9-478F-4171-B906-887CDC5477A2}"/>
    <cellStyle name="Input 6 5" xfId="1780" xr:uid="{44375ABC-5FC0-44AE-8C1B-4C6377624511}"/>
    <cellStyle name="Input 6 6" xfId="1781" xr:uid="{F3999169-61E3-458E-9EF2-6FE4A9D0AED1}"/>
    <cellStyle name="Input 6 7" xfId="1782" xr:uid="{3215C462-CD55-4628-868F-F2099917F7CF}"/>
    <cellStyle name="Input 6 8" xfId="3640" xr:uid="{04281FE1-5308-47C1-BC12-DFE906F911E5}"/>
    <cellStyle name="Input 6 8 2" xfId="4284" xr:uid="{1345D1D4-22F1-4FFA-AAFD-414615646337}"/>
    <cellStyle name="Input 6 8 2 2" xfId="4767" xr:uid="{108D2058-994B-4DB5-8198-87ABF8FCAC01}"/>
    <cellStyle name="Input 6 8 3" xfId="4646" xr:uid="{DFBEC674-D985-4A64-B0D8-63AECD8E984C}"/>
    <cellStyle name="Input 6 9" xfId="3641" xr:uid="{2CE64FA5-2BBD-4BD1-BC92-02D7704561DB}"/>
    <cellStyle name="Input 6 9 2" xfId="4285" xr:uid="{140736C6-34CD-402A-BAF4-B6C365B1D22D}"/>
    <cellStyle name="Input 6 9 2 2" xfId="4768" xr:uid="{D5B00322-B7FE-49FF-8BB2-90FC72D8F04B}"/>
    <cellStyle name="Input 6 9 3" xfId="4647" xr:uid="{05A3A29F-E164-44A1-9BCB-EF19330A4507}"/>
    <cellStyle name="Input 6_Trimestral" xfId="3636" xr:uid="{B6BDB0F2-9313-4F26-9D36-8E9E6324C32C}"/>
    <cellStyle name="Input 7" xfId="1783" xr:uid="{8FB659FB-2DC0-4E6E-9630-9D3DF69FEAE5}"/>
    <cellStyle name="Input 7 10" xfId="3643" xr:uid="{BCD1D5D2-92AD-46EE-9F9C-DCA2ACC5595E}"/>
    <cellStyle name="Input 7 10 2" xfId="4286" xr:uid="{BC38A2EB-0A00-4685-A1EE-881E37D82E93}"/>
    <cellStyle name="Input 7 10 2 2" xfId="4769" xr:uid="{47F3173F-2AC4-4414-9B83-ABF6F718313F}"/>
    <cellStyle name="Input 7 10 3" xfId="4648" xr:uid="{95735DD2-EA7B-4142-B1EE-F9C1D0E5C53B}"/>
    <cellStyle name="Input 7 11" xfId="3644" xr:uid="{C7C6B1F5-AC23-4187-BA57-06A134182A45}"/>
    <cellStyle name="Input 7 11 2" xfId="4287" xr:uid="{90D53B9D-DA44-4582-9625-3605FBA8FD8D}"/>
    <cellStyle name="Input 7 11 2 2" xfId="4770" xr:uid="{7A0A07CE-DFA4-4FC2-AC25-12AB821CDE0C}"/>
    <cellStyle name="Input 7 11 3" xfId="4649" xr:uid="{185BD58C-81B3-4CD4-BD24-EC315E07B9C7}"/>
    <cellStyle name="Input 7 12" xfId="3645" xr:uid="{959A83F0-521A-478E-8272-4DB710D932E2}"/>
    <cellStyle name="Input 7 12 2" xfId="4288" xr:uid="{85446A4D-AC3C-4AB6-AEF2-0010B69E622E}"/>
    <cellStyle name="Input 7 12 2 2" xfId="4771" xr:uid="{18908B0D-EE62-4D91-9322-9050555CC4CF}"/>
    <cellStyle name="Input 7 12 3" xfId="4650" xr:uid="{814B204A-DAC7-42A1-8BA5-3AE27F195278}"/>
    <cellStyle name="Input 7 2" xfId="1784" xr:uid="{181D9B69-4A96-4A53-8E79-BB5BFDC6FBDC}"/>
    <cellStyle name="Input 7 3" xfId="1785" xr:uid="{FEFD6B2C-CF30-43FB-A387-1B780BFA2653}"/>
    <cellStyle name="Input 7 4" xfId="1786" xr:uid="{46F346AA-C5BC-44C1-A195-24EB25415B6A}"/>
    <cellStyle name="Input 7 5" xfId="1787" xr:uid="{2854FAC8-F4D3-4EFA-9D5D-A463B1834F92}"/>
    <cellStyle name="Input 7 6" xfId="1788" xr:uid="{F150A191-E2CE-4D71-B9AD-30296776EE23}"/>
    <cellStyle name="Input 7 7" xfId="1789" xr:uid="{B6E6C0A9-9EDF-4450-89C8-6A4EB1F338AE}"/>
    <cellStyle name="Input 7 8" xfId="3646" xr:uid="{3E85CCA8-8509-45C2-9C80-C78520553417}"/>
    <cellStyle name="Input 7 8 2" xfId="4289" xr:uid="{213A3838-85D4-402C-A6C7-4EF7BFB88B89}"/>
    <cellStyle name="Input 7 8 2 2" xfId="4772" xr:uid="{58AE6903-DC06-42C2-8789-CDBAAAC24956}"/>
    <cellStyle name="Input 7 8 3" xfId="4651" xr:uid="{8B8031AB-58E1-42B9-ADAD-6E095CFB0ABA}"/>
    <cellStyle name="Input 7 9" xfId="3647" xr:uid="{4692C7A9-997C-4AC2-9B18-9A130B5601F6}"/>
    <cellStyle name="Input 7 9 2" xfId="4290" xr:uid="{BDFF0669-2D0E-481C-93F4-002458C7B045}"/>
    <cellStyle name="Input 7 9 2 2" xfId="4773" xr:uid="{3883AE7C-7EBB-46AC-9805-F00750170DC0}"/>
    <cellStyle name="Input 7 9 3" xfId="4652" xr:uid="{CD6FEA03-B368-40C5-B696-DE38395B62BD}"/>
    <cellStyle name="Input 7_Trimestral" xfId="3642" xr:uid="{8E85A43A-C3BD-46C9-9BA4-9A1804440C3F}"/>
    <cellStyle name="Input 8" xfId="1790" xr:uid="{D2C0D20D-8FCD-452E-85AF-AD34CEFD1467}"/>
    <cellStyle name="Input 8 10" xfId="3649" xr:uid="{DE2707C1-637E-4265-8F41-8936F84323B9}"/>
    <cellStyle name="Input 8 10 2" xfId="4291" xr:uid="{1DC8A6B0-7D83-4B8D-B511-942A1D675F0E}"/>
    <cellStyle name="Input 8 10 2 2" xfId="4774" xr:uid="{416E7B2C-902E-4DB8-8FDF-4593AB0102E2}"/>
    <cellStyle name="Input 8 10 3" xfId="4653" xr:uid="{D36F9DFE-2C36-4C1A-B878-5336B11941B3}"/>
    <cellStyle name="Input 8 11" xfId="3650" xr:uid="{7BD4AB69-5A6F-4D18-85C2-2FCB397AD94B}"/>
    <cellStyle name="Input 8 11 2" xfId="4292" xr:uid="{0046EC2C-8CA8-4D71-85BF-DF43AE59D0BC}"/>
    <cellStyle name="Input 8 11 2 2" xfId="4775" xr:uid="{FACEDD98-6771-4E76-9F4B-A663D5AB4408}"/>
    <cellStyle name="Input 8 11 3" xfId="4654" xr:uid="{3CC410D4-A015-450F-8290-0F9BE621642D}"/>
    <cellStyle name="Input 8 12" xfId="3651" xr:uid="{1F2EFBB8-94E3-4A67-A1BE-09DBE71D4D6E}"/>
    <cellStyle name="Input 8 12 2" xfId="4293" xr:uid="{858DFE5A-5FDA-4F27-A3EA-0EECDA1CE6DE}"/>
    <cellStyle name="Input 8 12 2 2" xfId="4776" xr:uid="{52DFB3BE-471B-4CB3-BC0A-25702B1BA517}"/>
    <cellStyle name="Input 8 12 3" xfId="4655" xr:uid="{7F1DD26A-1753-46C3-A221-B33B1BA798E6}"/>
    <cellStyle name="Input 8 2" xfId="1791" xr:uid="{F5A97E19-1BE4-416C-AE7C-079D3A7E78E6}"/>
    <cellStyle name="Input 8 3" xfId="1792" xr:uid="{67B9320D-BB60-412D-8364-17074E9B0750}"/>
    <cellStyle name="Input 8 4" xfId="1793" xr:uid="{CBC692DA-CE08-47C3-A196-997B854517BC}"/>
    <cellStyle name="Input 8 5" xfId="1794" xr:uid="{2629E3DA-BF64-4B79-A9B3-9546431AB5E8}"/>
    <cellStyle name="Input 8 6" xfId="1795" xr:uid="{C99AA0CF-F2C1-4F3F-973B-BEEF48C30D9E}"/>
    <cellStyle name="Input 8 7" xfId="1796" xr:uid="{D911452C-F66D-427E-8F4B-E502BA80F1A7}"/>
    <cellStyle name="Input 8 8" xfId="3652" xr:uid="{5386F5B9-6696-4CA0-BBA0-92A17A8E63F6}"/>
    <cellStyle name="Input 8 8 2" xfId="4294" xr:uid="{EB3E67B2-8DC8-44F0-9462-A1213FF343D7}"/>
    <cellStyle name="Input 8 8 2 2" xfId="4777" xr:uid="{735F563E-09A4-4180-95D2-BBB642080A08}"/>
    <cellStyle name="Input 8 8 3" xfId="4656" xr:uid="{C8E800FB-8271-4B82-9409-064767EB2318}"/>
    <cellStyle name="Input 8 9" xfId="3653" xr:uid="{C055A0A4-9DC8-4111-9690-EBA7A3FC1600}"/>
    <cellStyle name="Input 8 9 2" xfId="4295" xr:uid="{AA76CE5A-0421-4A25-87E3-9FB7013B9A40}"/>
    <cellStyle name="Input 8 9 2 2" xfId="4778" xr:uid="{89FFDB30-F91B-465E-BC9E-98E5FB8339F4}"/>
    <cellStyle name="Input 8 9 3" xfId="4657" xr:uid="{9D6905E5-11BA-4844-B825-DEEC0DF98208}"/>
    <cellStyle name="Input 8_Trimestral" xfId="3648" xr:uid="{E74F7660-1167-4309-9C56-519AE12C3EFF}"/>
    <cellStyle name="Input 9" xfId="3654" xr:uid="{2D1E230D-E213-49F1-B439-4D0252667A61}"/>
    <cellStyle name="Input 9 2" xfId="4296" xr:uid="{2420574C-8821-4199-A4DE-F7D109323198}"/>
    <cellStyle name="Input 9 2 2" xfId="4779" xr:uid="{431B5B65-054F-4A82-AF2D-7D86F93CC83C}"/>
    <cellStyle name="Input 9 3" xfId="4658" xr:uid="{C81F12C2-193E-406C-B23B-566FBE533E78}"/>
    <cellStyle name="Linked Cell 2" xfId="1797" xr:uid="{BD073474-C579-4766-9506-854A21630575}"/>
    <cellStyle name="Linked Cell 2 10" xfId="3655" xr:uid="{CC01C7A9-7B7A-4334-8285-47FBC34717F9}"/>
    <cellStyle name="Linked Cell 2 11" xfId="3656" xr:uid="{1C6701D6-F349-487B-8D9F-C8694FA68A84}"/>
    <cellStyle name="Linked Cell 2 12" xfId="3657" xr:uid="{FA773CD6-9110-4A94-94C7-F2C7CDDEB708}"/>
    <cellStyle name="Linked Cell 2 2" xfId="1798" xr:uid="{F29C14DE-0CBD-4154-8D80-BD9289D61BB4}"/>
    <cellStyle name="Linked Cell 2 3" xfId="1799" xr:uid="{B70D5760-60E4-4545-9BBF-A0D8DAAF11E6}"/>
    <cellStyle name="Linked Cell 2 4" xfId="1800" xr:uid="{B7ECFC16-0824-4FCE-8060-E8CCBD936829}"/>
    <cellStyle name="Linked Cell 2 5" xfId="1801" xr:uid="{73D366D0-75DB-44BA-A44E-CE8B2B588667}"/>
    <cellStyle name="Linked Cell 2 6" xfId="1802" xr:uid="{0E467007-B2D4-4555-A21E-522B1C55FD3C}"/>
    <cellStyle name="Linked Cell 2 7" xfId="1803" xr:uid="{81499A83-0152-49CC-990A-2A7338B16EBA}"/>
    <cellStyle name="Linked Cell 2 8" xfId="3658" xr:uid="{2FBFA0CF-1122-4DE5-A51A-3AA9126CB881}"/>
    <cellStyle name="Linked Cell 2 9" xfId="3659" xr:uid="{4AC1102E-0A30-400D-AF78-2409028C0B3E}"/>
    <cellStyle name="Linked Cell 3" xfId="1804" xr:uid="{F4133F9E-7CBF-412F-8608-0BBCCFFAE1CC}"/>
    <cellStyle name="Linked Cell 3 10" xfId="3660" xr:uid="{0E4A2816-4335-4093-87E3-36AFEC185B60}"/>
    <cellStyle name="Linked Cell 3 11" xfId="3661" xr:uid="{CBF0E0C9-F866-49B8-A2AF-A7B6A0D234EC}"/>
    <cellStyle name="Linked Cell 3 12" xfId="3662" xr:uid="{E00FD09C-66C0-475A-81D5-27B89BA2B333}"/>
    <cellStyle name="Linked Cell 3 2" xfId="1805" xr:uid="{B685B24D-66DD-4565-A686-8889FA789316}"/>
    <cellStyle name="Linked Cell 3 3" xfId="1806" xr:uid="{5D9C1BEE-6821-4D64-866B-5C4AEE9CBDF9}"/>
    <cellStyle name="Linked Cell 3 4" xfId="1807" xr:uid="{FED59EB1-9A7C-48EA-897E-0DEEC30E3B30}"/>
    <cellStyle name="Linked Cell 3 5" xfId="1808" xr:uid="{8C5B326A-826F-4D68-9236-9D9587AEEE8B}"/>
    <cellStyle name="Linked Cell 3 6" xfId="1809" xr:uid="{D24D2BC3-AAC6-4A11-9FD4-3935CF4A429C}"/>
    <cellStyle name="Linked Cell 3 7" xfId="1810" xr:uid="{81569AD5-9719-4FFB-9F0D-8603FC1311F6}"/>
    <cellStyle name="Linked Cell 3 8" xfId="3663" xr:uid="{EDA5F365-6490-4D67-94E7-3A1E4DADBFE2}"/>
    <cellStyle name="Linked Cell 3 9" xfId="3664" xr:uid="{CA0DDC84-80BD-4C19-9F74-81B58F2FC042}"/>
    <cellStyle name="Linked Cell 4" xfId="1811" xr:uid="{61E4D54F-79B8-45A6-9419-0C76772D4F95}"/>
    <cellStyle name="Linked Cell 4 10" xfId="3665" xr:uid="{1343F3E8-B1F4-4FAF-BEC4-304FE2AAC497}"/>
    <cellStyle name="Linked Cell 4 11" xfId="3666" xr:uid="{155AD180-2BA6-4297-88F3-1B3F5D5FC067}"/>
    <cellStyle name="Linked Cell 4 12" xfId="3667" xr:uid="{33BA051A-7E23-4E71-8DB7-80E77D6547CD}"/>
    <cellStyle name="Linked Cell 4 2" xfId="1812" xr:uid="{6B260478-2AB8-42ED-AF45-984EA0377965}"/>
    <cellStyle name="Linked Cell 4 3" xfId="1813" xr:uid="{4894B1EA-5EF3-4AE6-8546-1C8A79B5E9E0}"/>
    <cellStyle name="Linked Cell 4 4" xfId="1814" xr:uid="{9E7E3C46-C6C8-489C-89E0-8EBA0395E919}"/>
    <cellStyle name="Linked Cell 4 5" xfId="1815" xr:uid="{20A11C1D-F665-4AC0-8535-8512F57DB0F7}"/>
    <cellStyle name="Linked Cell 4 6" xfId="1816" xr:uid="{FE6036D9-3478-4DFC-B7E7-2B405DCD85E9}"/>
    <cellStyle name="Linked Cell 4 7" xfId="1817" xr:uid="{27FEF5AF-608C-43D8-A7E2-DF83325A4794}"/>
    <cellStyle name="Linked Cell 4 8" xfId="3668" xr:uid="{591380BD-46FB-4928-A9B3-48CC5593875B}"/>
    <cellStyle name="Linked Cell 4 9" xfId="3669" xr:uid="{F9DEB143-6237-4746-AD2F-F874F4FCFD09}"/>
    <cellStyle name="Linked Cell 5" xfId="1818" xr:uid="{841771CA-8A73-4260-97C5-A2F0FE24718E}"/>
    <cellStyle name="Linked Cell 5 10" xfId="3670" xr:uid="{8D7F5D7E-4AD0-4025-872B-E1068A386099}"/>
    <cellStyle name="Linked Cell 5 11" xfId="3671" xr:uid="{99E7B870-6ABB-4B77-A77C-618638CD519C}"/>
    <cellStyle name="Linked Cell 5 12" xfId="3672" xr:uid="{070F1866-4E13-4B08-8DE4-56B15851FDD5}"/>
    <cellStyle name="Linked Cell 5 2" xfId="1819" xr:uid="{732D25DB-477C-4A08-B45A-F26EC58C958E}"/>
    <cellStyle name="Linked Cell 5 3" xfId="1820" xr:uid="{BF47AAAD-DCC7-4A99-82CD-87B3DBC7313C}"/>
    <cellStyle name="Linked Cell 5 4" xfId="1821" xr:uid="{2D30489B-06B4-4214-8E53-1543155BAEB0}"/>
    <cellStyle name="Linked Cell 5 5" xfId="1822" xr:uid="{82F568A2-9B62-4239-A30A-C11F389EECB7}"/>
    <cellStyle name="Linked Cell 5 6" xfId="1823" xr:uid="{8D1ECB5B-B394-4C17-891C-A072688C1650}"/>
    <cellStyle name="Linked Cell 5 7" xfId="1824" xr:uid="{93C93CE9-08E0-4869-9EF1-931EAA423831}"/>
    <cellStyle name="Linked Cell 5 8" xfId="3673" xr:uid="{A4D71DAD-325A-4831-AC15-DE21D685EB4A}"/>
    <cellStyle name="Linked Cell 5 9" xfId="3674" xr:uid="{2B83CDA7-A35D-4B04-97C0-B4C10C8BF1F8}"/>
    <cellStyle name="Linked Cell 6" xfId="1825" xr:uid="{9AD2F89A-9860-476E-AA87-A2CE40F6C760}"/>
    <cellStyle name="Linked Cell 6 10" xfId="3675" xr:uid="{09957397-4C3F-4D6F-A974-E315505AFDFA}"/>
    <cellStyle name="Linked Cell 6 11" xfId="3676" xr:uid="{6AC13397-6D0A-4AE0-8AFA-836C55F85996}"/>
    <cellStyle name="Linked Cell 6 12" xfId="3677" xr:uid="{223681C5-CF4C-40F8-B955-08054B43E165}"/>
    <cellStyle name="Linked Cell 6 2" xfId="1826" xr:uid="{62F10E9D-A1B6-478C-8BFC-57A59B514461}"/>
    <cellStyle name="Linked Cell 6 3" xfId="1827" xr:uid="{967832FE-5569-466A-8EF6-C251DA3A105C}"/>
    <cellStyle name="Linked Cell 6 4" xfId="1828" xr:uid="{5CD76696-3BBC-4A20-9CC2-C7E90577839A}"/>
    <cellStyle name="Linked Cell 6 5" xfId="1829" xr:uid="{F60DF7D0-E41A-4F40-B33F-6E16D6242322}"/>
    <cellStyle name="Linked Cell 6 6" xfId="1830" xr:uid="{39737BF7-CBD5-4C4B-8040-2FA4857B4D72}"/>
    <cellStyle name="Linked Cell 6 7" xfId="1831" xr:uid="{0560D51A-2446-4F16-B539-720610B5E7E0}"/>
    <cellStyle name="Linked Cell 6 8" xfId="3678" xr:uid="{7BEE1B42-B9D5-40F4-8007-3A7318AB64FC}"/>
    <cellStyle name="Linked Cell 6 9" xfId="3679" xr:uid="{3AF52314-ACA9-4649-9622-F75786A423C8}"/>
    <cellStyle name="Linked Cell 7" xfId="1832" xr:uid="{96A480BA-7DF5-4504-8605-E6D0DC8A71F4}"/>
    <cellStyle name="Linked Cell 7 10" xfId="3680" xr:uid="{2FF9E29F-DC4A-4560-93C9-E12ABA480AE9}"/>
    <cellStyle name="Linked Cell 7 11" xfId="3681" xr:uid="{993664B0-E55B-42F9-8B18-CDF283F2153E}"/>
    <cellStyle name="Linked Cell 7 12" xfId="3682" xr:uid="{D1B6F19E-63C2-4639-952A-2F5C71360EBC}"/>
    <cellStyle name="Linked Cell 7 2" xfId="1833" xr:uid="{591A81B0-9F20-4BEB-A37D-6C2265DD4B20}"/>
    <cellStyle name="Linked Cell 7 3" xfId="1834" xr:uid="{D8AEFE07-9996-412B-AF56-BDC1F4E5479F}"/>
    <cellStyle name="Linked Cell 7 4" xfId="1835" xr:uid="{C3DD2605-CB33-4A04-832A-7682CA0A0269}"/>
    <cellStyle name="Linked Cell 7 5" xfId="1836" xr:uid="{2ED90230-3DD4-462F-BF4C-C69A861E6D11}"/>
    <cellStyle name="Linked Cell 7 6" xfId="1837" xr:uid="{4DF3C8B8-1AB5-412F-94A2-64B8CAC1344B}"/>
    <cellStyle name="Linked Cell 7 7" xfId="1838" xr:uid="{20F22F88-905A-4164-A043-483CE37D733C}"/>
    <cellStyle name="Linked Cell 7 8" xfId="3683" xr:uid="{AE17FDFE-7A56-484C-959C-7F337A054E01}"/>
    <cellStyle name="Linked Cell 7 9" xfId="3684" xr:uid="{7723574E-9149-4ACF-B375-B5E0307F03CE}"/>
    <cellStyle name="Linked Cell 8" xfId="1839" xr:uid="{927640AE-0115-4315-9283-0A8F96F52126}"/>
    <cellStyle name="Linked Cell 8 10" xfId="3685" xr:uid="{43AE7E94-0A43-4705-AB4E-648BE316976B}"/>
    <cellStyle name="Linked Cell 8 11" xfId="3686" xr:uid="{D73FA3B7-8B22-4857-953B-FF72607104B0}"/>
    <cellStyle name="Linked Cell 8 12" xfId="3687" xr:uid="{E094C8BE-5EB6-4EC9-AAE6-BCD78B8C2119}"/>
    <cellStyle name="Linked Cell 8 2" xfId="1840" xr:uid="{FDABFC23-D042-483A-8962-A3F2EE235B22}"/>
    <cellStyle name="Linked Cell 8 3" xfId="1841" xr:uid="{D7D322B5-3A27-4004-9BAC-DF5ED9851C68}"/>
    <cellStyle name="Linked Cell 8 4" xfId="1842" xr:uid="{DAA99E3B-6FD3-435A-B236-1FEEE241B3F4}"/>
    <cellStyle name="Linked Cell 8 5" xfId="1843" xr:uid="{9D68E695-E05F-4C90-A26B-1630A4573D1D}"/>
    <cellStyle name="Linked Cell 8 6" xfId="1844" xr:uid="{0A513655-1B2C-4AB2-B0C1-8ABF10FEBFE6}"/>
    <cellStyle name="Linked Cell 8 7" xfId="1845" xr:uid="{D1C3C764-F8A9-4067-9659-14DFD7B687A3}"/>
    <cellStyle name="Linked Cell 8 8" xfId="3688" xr:uid="{0CFE0877-FC9C-48CE-92EB-1B4630EBA2B5}"/>
    <cellStyle name="Linked Cell 8 9" xfId="3689" xr:uid="{DA419931-F418-4E82-B431-E17E6D9BEA53}"/>
    <cellStyle name="Linked Cell 9" xfId="3690" xr:uid="{BBD9A314-C8AB-4509-A105-4ABA27743963}"/>
    <cellStyle name="Millares [0]_ Graf 5.4" xfId="34" xr:uid="{B2850F8D-D6A8-4564-B965-EFC86D01895F}"/>
    <cellStyle name="Millares [2]" xfId="35" xr:uid="{A1ADABEF-F1FF-4ABF-BFE2-D2DC772A83D9}"/>
    <cellStyle name="Millares_ Graf 5.4" xfId="36" xr:uid="{32717180-B5C5-4ACC-83C7-15F45FD242A3}"/>
    <cellStyle name="Moeda0" xfId="3691" xr:uid="{7572D856-15E5-4C1E-B4F7-F028573EAF4B}"/>
    <cellStyle name="Moneda [0]_ Graf 5.4" xfId="37" xr:uid="{9D68B5D6-14D2-4317-A087-EE94B027CBDA}"/>
    <cellStyle name="Moneda_(BYS)Dist. % mensual" xfId="38" xr:uid="{DD739E30-74B0-44D1-90CF-66987ADE0D53}"/>
    <cellStyle name="Neutra" xfId="93" xr:uid="{CEA3BE0B-5FD5-4BE5-947C-D4521E03DA4A}"/>
    <cellStyle name="Neutral" xfId="3" builtinId="28" customBuiltin="1"/>
    <cellStyle name="Neutral 2" xfId="1846" xr:uid="{C6EA2E4D-3256-4AEC-A41B-1C1C01E7CC2F}"/>
    <cellStyle name="Neutral 2 10" xfId="3692" xr:uid="{B7A62055-5CCD-4E4C-AFCE-23F86EDB60C3}"/>
    <cellStyle name="Neutral 2 11" xfId="3693" xr:uid="{37A33D4B-3011-4211-95FA-EB99F50B6FC2}"/>
    <cellStyle name="Neutral 2 12" xfId="3694" xr:uid="{AE890956-BE5E-483F-8664-940D44F49E3A}"/>
    <cellStyle name="Neutral 2 2" xfId="1847" xr:uid="{F04F6CEE-BCB6-4F3F-BC0E-6F3CE2C3866A}"/>
    <cellStyle name="Neutral 2 3" xfId="1848" xr:uid="{0904D2F1-54B6-4C48-AE4D-4D0EA4010535}"/>
    <cellStyle name="Neutral 2 4" xfId="1849" xr:uid="{CF356CB2-1D41-48D0-8024-781FC15560D3}"/>
    <cellStyle name="Neutral 2 5" xfId="1850" xr:uid="{A48B0963-FF69-4148-BFBE-00E6336C686A}"/>
    <cellStyle name="Neutral 2 6" xfId="1851" xr:uid="{E9F3EA7F-5E7F-4468-B7F9-0410C5E4D611}"/>
    <cellStyle name="Neutral 2 7" xfId="1852" xr:uid="{8400FF13-FA1A-4969-9049-46912038EC26}"/>
    <cellStyle name="Neutral 2 8" xfId="3695" xr:uid="{B03928B1-A110-4A2D-8611-5BAD4A3B82C3}"/>
    <cellStyle name="Neutral 2 9" xfId="3696" xr:uid="{F21281B2-1B9C-49B2-B887-3F201C3A777F}"/>
    <cellStyle name="Neutral 3" xfId="1853" xr:uid="{638251E7-27EB-4F1A-B536-AD0CE2B1BA3E}"/>
    <cellStyle name="Neutral 3 10" xfId="3697" xr:uid="{F4A72FF0-657C-4194-BBEF-60A2D031EF35}"/>
    <cellStyle name="Neutral 3 11" xfId="3698" xr:uid="{23B667F8-1537-4DD8-A9C4-C04A5C390BD2}"/>
    <cellStyle name="Neutral 3 12" xfId="3699" xr:uid="{FAA0E57B-7A01-4304-965A-86BC035DB029}"/>
    <cellStyle name="Neutral 3 2" xfId="1854" xr:uid="{6313194D-D956-4B4E-A711-DC23BC497EC1}"/>
    <cellStyle name="Neutral 3 3" xfId="1855" xr:uid="{A8653ED8-C64B-489B-9178-72171AE55716}"/>
    <cellStyle name="Neutral 3 4" xfId="1856" xr:uid="{BA1FABB4-213A-4379-A0E1-50D3B72BA774}"/>
    <cellStyle name="Neutral 3 5" xfId="1857" xr:uid="{00482860-9FBA-4B53-8B2C-6A6096F64DD8}"/>
    <cellStyle name="Neutral 3 6" xfId="1858" xr:uid="{ADFA2EC4-8DCA-46D6-B203-C026A1FFD5FF}"/>
    <cellStyle name="Neutral 3 7" xfId="1859" xr:uid="{B54E8D0E-C264-41B2-A6EC-984DA511285F}"/>
    <cellStyle name="Neutral 3 8" xfId="3700" xr:uid="{DD2DDE3D-D20C-43C5-937F-51F80036EE87}"/>
    <cellStyle name="Neutral 3 9" xfId="3701" xr:uid="{A32942A0-72DA-4265-8B24-017E9545CF73}"/>
    <cellStyle name="Neutral 4" xfId="1860" xr:uid="{DEAA8C19-6FE2-4569-973A-0C5BBC892C4B}"/>
    <cellStyle name="Neutral 4 10" xfId="3702" xr:uid="{6A8A7EF0-8D7B-42CF-9386-69E84504CEC8}"/>
    <cellStyle name="Neutral 4 11" xfId="3703" xr:uid="{A930E48F-4B47-4CAD-ACF9-0FD1B1179B27}"/>
    <cellStyle name="Neutral 4 12" xfId="3704" xr:uid="{E4F8FCD4-C6CE-4611-A7CE-9E3B282C98C7}"/>
    <cellStyle name="Neutral 4 2" xfId="1861" xr:uid="{5E13C8B8-1962-4067-9D93-BEA8FC482AD3}"/>
    <cellStyle name="Neutral 4 3" xfId="1862" xr:uid="{22E06744-847C-4744-A7B6-459EE1717391}"/>
    <cellStyle name="Neutral 4 4" xfId="1863" xr:uid="{D752584D-0D8A-4A41-B022-CADC7F38BC7F}"/>
    <cellStyle name="Neutral 4 5" xfId="1864" xr:uid="{84A1A126-FE8C-470A-BC67-C49EA7A0C761}"/>
    <cellStyle name="Neutral 4 6" xfId="1865" xr:uid="{C32022E3-0562-4C7B-8456-ACB80C9936AE}"/>
    <cellStyle name="Neutral 4 7" xfId="1866" xr:uid="{A08BCD12-7550-412B-BA12-6D2B66856AEA}"/>
    <cellStyle name="Neutral 4 8" xfId="3705" xr:uid="{660F6E68-B331-4B92-9D15-EA29687E2997}"/>
    <cellStyle name="Neutral 4 9" xfId="3706" xr:uid="{13D16DE6-FA1F-4AFF-B13C-DF8BBFCFC234}"/>
    <cellStyle name="Neutral 5" xfId="1867" xr:uid="{4AF6D110-E033-40EE-BEDE-114D9AC987F1}"/>
    <cellStyle name="Neutral 5 10" xfId="3707" xr:uid="{719E6A69-8F69-4DAB-90F2-7E203422BC70}"/>
    <cellStyle name="Neutral 5 11" xfId="3708" xr:uid="{47BB3398-6F55-4ABF-8768-454E3B6A9979}"/>
    <cellStyle name="Neutral 5 12" xfId="3709" xr:uid="{21E6C59B-674E-45C5-9A9C-34A3E975D078}"/>
    <cellStyle name="Neutral 5 2" xfId="1868" xr:uid="{905E17B7-F9AF-401A-8B25-BC15EDDB792B}"/>
    <cellStyle name="Neutral 5 3" xfId="1869" xr:uid="{4D02BB3B-76EE-4071-BE15-F70A2E52277B}"/>
    <cellStyle name="Neutral 5 4" xfId="1870" xr:uid="{D89CF490-11BD-46AB-83ED-7AEC0E7540E3}"/>
    <cellStyle name="Neutral 5 5" xfId="1871" xr:uid="{FA538A48-5DFF-4C0A-AA56-39243B269565}"/>
    <cellStyle name="Neutral 5 6" xfId="1872" xr:uid="{F450FBC9-7525-4352-B860-00A023895E35}"/>
    <cellStyle name="Neutral 5 7" xfId="1873" xr:uid="{14A2C2C7-561A-446B-9E0F-C5F4FF42019B}"/>
    <cellStyle name="Neutral 5 8" xfId="3710" xr:uid="{34871070-130F-469A-88E0-1588F44003C6}"/>
    <cellStyle name="Neutral 5 9" xfId="3711" xr:uid="{9F385ACC-5CBE-4177-826E-C080AC43A51A}"/>
    <cellStyle name="Neutral 6" xfId="1874" xr:uid="{93065959-CC8E-4C34-9674-13B6188C278B}"/>
    <cellStyle name="Neutral 6 10" xfId="3712" xr:uid="{1AB6BC55-10DC-4DFF-BA6E-D220B025E0B2}"/>
    <cellStyle name="Neutral 6 11" xfId="3713" xr:uid="{DD20B9B4-50AC-4932-BBB8-C5AAD061F850}"/>
    <cellStyle name="Neutral 6 12" xfId="3714" xr:uid="{7287C4E7-0E03-4561-AB0B-C2CEC45E5BC9}"/>
    <cellStyle name="Neutral 6 2" xfId="1875" xr:uid="{8E5E5414-9545-4566-A591-A38123383D56}"/>
    <cellStyle name="Neutral 6 3" xfId="1876" xr:uid="{FB817761-33D9-415A-AE9F-99BE2057CBC7}"/>
    <cellStyle name="Neutral 6 4" xfId="1877" xr:uid="{F2F1E668-D231-44D5-BC2C-F191B2AAE5BD}"/>
    <cellStyle name="Neutral 6 5" xfId="1878" xr:uid="{99623CD1-9D2D-4670-B658-182F308F9A78}"/>
    <cellStyle name="Neutral 6 6" xfId="1879" xr:uid="{6F3CAF63-1900-4AA4-9D77-8AF88518B6F6}"/>
    <cellStyle name="Neutral 6 7" xfId="1880" xr:uid="{8D3D140F-6E14-4D2E-9DB3-93D96506C440}"/>
    <cellStyle name="Neutral 6 8" xfId="3715" xr:uid="{7A022230-79E4-4386-8EAE-2B48E39060CB}"/>
    <cellStyle name="Neutral 6 9" xfId="3716" xr:uid="{18C164B2-072F-4324-B3E7-34F98628F143}"/>
    <cellStyle name="Neutral 7" xfId="1881" xr:uid="{DEBFB6D3-F340-436D-9261-34A305618795}"/>
    <cellStyle name="Neutral 7 10" xfId="3717" xr:uid="{A0578994-5B84-47CC-B5A6-68C2BB9DD2EA}"/>
    <cellStyle name="Neutral 7 11" xfId="3718" xr:uid="{0D700648-44B7-4204-89C6-AB991DAB7A99}"/>
    <cellStyle name="Neutral 7 12" xfId="3719" xr:uid="{CEC03306-CB3C-4CBF-B603-F53031808AC1}"/>
    <cellStyle name="Neutral 7 2" xfId="1882" xr:uid="{29591407-C45D-45D5-BC0C-86CBEAA84200}"/>
    <cellStyle name="Neutral 7 3" xfId="1883" xr:uid="{AF86E50B-5453-435C-93AC-8FD3E8D0331A}"/>
    <cellStyle name="Neutral 7 4" xfId="1884" xr:uid="{21DD062F-891D-4BDE-95C4-520F638BD7D6}"/>
    <cellStyle name="Neutral 7 5" xfId="1885" xr:uid="{38D987BF-75E3-42AB-B745-C927CE8189E6}"/>
    <cellStyle name="Neutral 7 6" xfId="1886" xr:uid="{73599957-79B0-49B4-8994-27E9EBEB2D30}"/>
    <cellStyle name="Neutral 7 7" xfId="1887" xr:uid="{6A591621-A6C3-4D91-8891-A3898EC8FD9C}"/>
    <cellStyle name="Neutral 7 8" xfId="3720" xr:uid="{9F95348F-3783-4708-8DF4-47D308E7DA49}"/>
    <cellStyle name="Neutral 7 9" xfId="3721" xr:uid="{35501EFE-3C3A-4D31-AE64-4B6EF4983E52}"/>
    <cellStyle name="Neutral 8" xfId="1888" xr:uid="{9188AB60-1D55-4567-8D60-3F43F282E7E4}"/>
    <cellStyle name="Neutral 8 10" xfId="3722" xr:uid="{20E4E553-6C1B-436C-BF7C-63C81D2F641A}"/>
    <cellStyle name="Neutral 8 11" xfId="3723" xr:uid="{DE4243B9-C0A5-416F-84A2-1BDB7174A7A6}"/>
    <cellStyle name="Neutral 8 12" xfId="3724" xr:uid="{C4DD3042-7086-469F-B2E0-0F5217735BCB}"/>
    <cellStyle name="Neutral 8 2" xfId="1889" xr:uid="{3DEAD721-9FBD-43CB-9817-3FCA8B20A4D8}"/>
    <cellStyle name="Neutral 8 3" xfId="1890" xr:uid="{F86BF7EC-C63D-4FB9-94ED-838B70887C54}"/>
    <cellStyle name="Neutral 8 4" xfId="1891" xr:uid="{C0B8448A-EFE1-49B7-9F47-AE8D23B967E5}"/>
    <cellStyle name="Neutral 8 5" xfId="1892" xr:uid="{B8D15AB7-E46C-4ED0-BF50-226246B6A4C1}"/>
    <cellStyle name="Neutral 8 6" xfId="1893" xr:uid="{7051CCBE-1EA9-41B6-A113-4CC7E75EB8F4}"/>
    <cellStyle name="Neutral 8 7" xfId="1894" xr:uid="{225C4734-5C4D-41A5-A1A5-10BE3449735C}"/>
    <cellStyle name="Neutral 8 8" xfId="3725" xr:uid="{09DADB23-1707-43B2-9655-8A65D2D0829C}"/>
    <cellStyle name="Neutral 8 9" xfId="3726" xr:uid="{8B699C75-9A9A-40EB-8BFD-1DAFC3AE9A12}"/>
    <cellStyle name="Neutral 9" xfId="3727" xr:uid="{3EE9D3FF-3AF3-45F1-9B98-B2858929ECF1}"/>
    <cellStyle name="Normal" xfId="0" builtinId="0"/>
    <cellStyle name="Normal 10" xfId="3728" xr:uid="{DC82814E-42F2-42DE-8216-CAB7571A88E2}"/>
    <cellStyle name="Normal 10 4" xfId="4493" xr:uid="{32A72CE4-5B91-46E0-A716-8F4510B9E5AD}"/>
    <cellStyle name="Normal 11" xfId="3729" xr:uid="{EDF3BCEF-64AD-4B91-AA39-673DCE952435}"/>
    <cellStyle name="Normal 12" xfId="3730" xr:uid="{DB0E4CF1-26B7-4F69-A429-A093E15E06AC}"/>
    <cellStyle name="Normal 13" xfId="114" xr:uid="{7D909F73-5244-44EE-BFF9-253B98DD968C}"/>
    <cellStyle name="Normal 14" xfId="120" xr:uid="{2A509981-72AA-4693-AD8F-805E0C03276D}"/>
    <cellStyle name="Normal 15" xfId="3731" xr:uid="{EE781071-1E66-4D59-88A6-9CFC8C14FE8C}"/>
    <cellStyle name="Normal 16" xfId="3732" xr:uid="{06A7D496-0F2D-4449-882A-6EF92C8C6F80}"/>
    <cellStyle name="Normal 16 2" xfId="13" xr:uid="{158CF11D-DEEC-4CF5-BD30-7420ED78FD0B}"/>
    <cellStyle name="Normal 17" xfId="3733" xr:uid="{5BDCD79B-BE13-4B0E-8EB9-424F2F291614}"/>
    <cellStyle name="Normal 18" xfId="3734" xr:uid="{45931942-C98F-43F5-9B97-B4D2A7E5B0C9}"/>
    <cellStyle name="Normal 19" xfId="3735" xr:uid="{745DA037-AE93-44F2-B86A-D6DAD3329A7A}"/>
    <cellStyle name="Normal 2" xfId="14" xr:uid="{C4505DD4-BA86-4507-B547-73E4E72D19E1}"/>
    <cellStyle name="Normal 2 10" xfId="1895" xr:uid="{3B3C4F14-35A5-495E-9383-1642531F5293}"/>
    <cellStyle name="Normal 2 10 10" xfId="3736" xr:uid="{727F1A43-BE47-44CA-AF65-98897C9450B0}"/>
    <cellStyle name="Normal 2 10 11" xfId="3737" xr:uid="{8FBD7F71-A9D3-48AB-A369-6CE77D3FCE44}"/>
    <cellStyle name="Normal 2 10 12" xfId="3738" xr:uid="{C82E9499-A1E3-4A0C-8D5D-F0BBC612E857}"/>
    <cellStyle name="Normal 2 10 2" xfId="1896" xr:uid="{70D673CC-5153-4F24-81DD-01A03774EFD4}"/>
    <cellStyle name="Normal 2 10 3" xfId="1897" xr:uid="{74A07968-3CF6-4FE9-B7FC-7481986CF8D9}"/>
    <cellStyle name="Normal 2 10 4" xfId="1898" xr:uid="{45A20670-10D1-4BCA-AF61-CFE89DEDE32F}"/>
    <cellStyle name="Normal 2 10 5" xfId="1899" xr:uid="{284A5CE4-4A30-4B73-9E5B-197465974F43}"/>
    <cellStyle name="Normal 2 10 6" xfId="1900" xr:uid="{F848B123-C3FD-4352-9B90-A8E0B5C771A9}"/>
    <cellStyle name="Normal 2 10 7" xfId="1901" xr:uid="{1BB677B4-9A0D-4D65-AE63-E43A1BA2D6C8}"/>
    <cellStyle name="Normal 2 10 8" xfId="3739" xr:uid="{BE49A811-BA60-41DE-B14B-2A3B2140B579}"/>
    <cellStyle name="Normal 2 10 9" xfId="3740" xr:uid="{684ED228-7E75-4F3D-9C12-616B0DD53998}"/>
    <cellStyle name="Normal 2 10_ContasExternas" xfId="3741" xr:uid="{A504579A-6EDB-402E-9675-654079405804}"/>
    <cellStyle name="Normal 2 11" xfId="1902" xr:uid="{92A836C0-B9FD-4AEA-8E69-443AE01C4045}"/>
    <cellStyle name="Normal 2 12" xfId="1903" xr:uid="{85D86ACD-064B-4B67-AEF9-ED823FF4969E}"/>
    <cellStyle name="Normal 2 13" xfId="1904" xr:uid="{E523AF66-388E-456F-9EC5-ACA151B39F4A}"/>
    <cellStyle name="Normal 2 14" xfId="1905" xr:uid="{14D26670-CBC7-46F7-9DF2-49E70F81FC4B}"/>
    <cellStyle name="Normal 2 15" xfId="1906" xr:uid="{C241F254-0671-4058-AAED-81E3E6A1BC8F}"/>
    <cellStyle name="Normal 2 16" xfId="1907" xr:uid="{615FCE2C-C4ED-4886-AAE1-AD000F3D3B31}"/>
    <cellStyle name="Normal 2 17" xfId="1908" xr:uid="{A560A09C-96D3-45EF-8A87-1DB4132B37B9}"/>
    <cellStyle name="Normal 2 18" xfId="1909" xr:uid="{D02CE1D3-3509-4BFC-A39B-04CA162D2E4C}"/>
    <cellStyle name="Normal 2 19" xfId="3742" xr:uid="{BF0CBF55-5B5A-4859-80D9-0D7D113B4898}"/>
    <cellStyle name="Normal 2 2" xfId="118" xr:uid="{7AFD674A-C03A-4975-92D7-7AD81DF2AC2D}"/>
    <cellStyle name="Normal 2 2 10" xfId="3743" xr:uid="{40EE8FEC-C58E-4DAA-95F3-D2623BC4DA06}"/>
    <cellStyle name="Normal 2 2 11" xfId="3744" xr:uid="{0F814349-23F3-46C2-988E-B7E5EEF83ECF}"/>
    <cellStyle name="Normal 2 2 12" xfId="3745" xr:uid="{20F63C9D-D59D-422B-99A6-DE4CE62D833B}"/>
    <cellStyle name="Normal 2 2 2" xfId="1910" xr:uid="{9EC71610-ADCA-48B4-BF57-DFD050A4DF38}"/>
    <cellStyle name="Normal 2 2 3" xfId="1911" xr:uid="{DDF567AD-6C85-4645-B1C1-F6A7212E6F2A}"/>
    <cellStyle name="Normal 2 2 4" xfId="1912" xr:uid="{84F53F40-D0F2-4AF4-9ECF-4DE4D94FBE7B}"/>
    <cellStyle name="Normal 2 2 5" xfId="1913" xr:uid="{10DE6B59-B507-4C9A-B368-FBA5B411D9F4}"/>
    <cellStyle name="Normal 2 2 6" xfId="1914" xr:uid="{ACED74E2-9B4B-4965-8E6E-C0B98C82CB35}"/>
    <cellStyle name="Normal 2 2 7" xfId="1915" xr:uid="{485C659D-4FC6-4629-AE00-9112BBDE5035}"/>
    <cellStyle name="Normal 2 2 8" xfId="3746" xr:uid="{89D4235D-ABC0-41E4-8A25-3DE612236B18}"/>
    <cellStyle name="Normal 2 2 9" xfId="3747" xr:uid="{735D3FCC-2D1C-4D69-A7A1-E572EDAC00F4}"/>
    <cellStyle name="Normal 2 2_ContasExternas" xfId="3748" xr:uid="{0D4C0C80-F325-4757-BC06-2706879131C7}"/>
    <cellStyle name="Normal 2 20" xfId="3749" xr:uid="{96B18C72-6719-4904-857C-3B11BF8DDB03}"/>
    <cellStyle name="Normal 2 21" xfId="3750" xr:uid="{52A5EF70-2A3C-4161-B629-AF6D4D5593AB}"/>
    <cellStyle name="Normal 2 22" xfId="3751" xr:uid="{B3F674BA-BB21-4F29-9F2C-C1DCE339814B}"/>
    <cellStyle name="Normal 2 23" xfId="3752" xr:uid="{425310E2-352E-4548-B2A9-C2EE759F374F}"/>
    <cellStyle name="Normal 2 24" xfId="39" xr:uid="{45C992EB-9808-4412-B136-A4C25C3C59A7}"/>
    <cellStyle name="Normal 2 25" xfId="4087" xr:uid="{831D236C-4D21-4DC9-9BBC-2461A3BBA8A1}"/>
    <cellStyle name="Normal 2 26" xfId="4415" xr:uid="{01B636E1-6DF9-4FCB-8AC0-BA296C6AAC0C}"/>
    <cellStyle name="Normal 2 3" xfId="1916" xr:uid="{90F456FB-6E9E-493B-B083-CAE8F4578565}"/>
    <cellStyle name="Normal 2 3 10" xfId="3753" xr:uid="{9C0400AC-0BCB-4D63-8185-F9946B8B0384}"/>
    <cellStyle name="Normal 2 3 11" xfId="3754" xr:uid="{7D307F08-F4CE-4BA5-A335-0BEE24945768}"/>
    <cellStyle name="Normal 2 3 12" xfId="3755" xr:uid="{8E2A7151-D48A-4D99-BF31-ABC1C6CAE0C1}"/>
    <cellStyle name="Normal 2 3 2" xfId="1917" xr:uid="{02418917-239E-48B8-8F0B-41DAFA6B2F63}"/>
    <cellStyle name="Normal 2 3 3" xfId="1918" xr:uid="{29D387DB-4DD5-43A5-A181-88C88897AFD1}"/>
    <cellStyle name="Normal 2 3 4" xfId="1919" xr:uid="{5A09EE51-E172-43E7-BF13-542A5E727878}"/>
    <cellStyle name="Normal 2 3 5" xfId="1920" xr:uid="{AA1FFEE1-7436-479A-84F1-CF2D89332F2D}"/>
    <cellStyle name="Normal 2 3 6" xfId="1921" xr:uid="{3B70E8EF-933A-4FF4-8154-A12B86A303EB}"/>
    <cellStyle name="Normal 2 3 7" xfId="1922" xr:uid="{6774EA40-FCF2-402B-92E2-67E7160277AD}"/>
    <cellStyle name="Normal 2 3 8" xfId="3756" xr:uid="{53530E29-FFFD-459D-97F0-4DF94867FBFE}"/>
    <cellStyle name="Normal 2 3 9" xfId="3757" xr:uid="{CD6899B0-AABF-48BC-ABBF-5AE76AD34DB6}"/>
    <cellStyle name="Normal 2 3_ContasExternas" xfId="3758" xr:uid="{1A13CF29-B621-473F-84AB-E5F019BE4E8A}"/>
    <cellStyle name="Normal 2 4" xfId="1923" xr:uid="{12CA863B-C9C8-471B-AEDC-9EAC4C5F27BD}"/>
    <cellStyle name="Normal 2 4 10" xfId="3759" xr:uid="{C0254A4A-97B8-48B8-BAEA-9F30FDB4820A}"/>
    <cellStyle name="Normal 2 4 11" xfId="3760" xr:uid="{FDE77EBF-C1AA-4057-8E23-91BAAE45BC70}"/>
    <cellStyle name="Normal 2 4 12" xfId="3761" xr:uid="{CE26EA8F-D686-450A-AE3E-293EE24D2919}"/>
    <cellStyle name="Normal 2 4 2" xfId="1924" xr:uid="{68A9E8A2-D54A-4B11-9219-213330FA692F}"/>
    <cellStyle name="Normal 2 4 3" xfId="1925" xr:uid="{1AA41A3D-B96D-4CD2-8B38-1C04A20247AF}"/>
    <cellStyle name="Normal 2 4 4" xfId="1926" xr:uid="{0A6633D1-92B4-4A5C-890A-BB8A4783BA34}"/>
    <cellStyle name="Normal 2 4 5" xfId="1927" xr:uid="{5BA62E09-B1C6-4238-9B11-6C2189650B56}"/>
    <cellStyle name="Normal 2 4 6" xfId="1928" xr:uid="{193499FF-A9F9-4FBE-B9E6-A09D250EE5E1}"/>
    <cellStyle name="Normal 2 4 7" xfId="1929" xr:uid="{E1860B4D-9B5B-4CF8-AE15-8899F868C9D7}"/>
    <cellStyle name="Normal 2 4 8" xfId="3762" xr:uid="{A78FB05E-9540-40E4-B5D1-AACD323EFCAA}"/>
    <cellStyle name="Normal 2 4 9" xfId="3763" xr:uid="{1E394F4E-9286-4F6D-A837-29B259854C04}"/>
    <cellStyle name="Normal 2 4_ContasExternas" xfId="3764" xr:uid="{96011C6A-03C6-497C-A69B-F214D329C22E}"/>
    <cellStyle name="Normal 2 5" xfId="1930" xr:uid="{D7B1AEAA-0459-43EE-81C0-BE949A04C58F}"/>
    <cellStyle name="Normal 2 5 10" xfId="3765" xr:uid="{7F8BA056-0B7D-4F71-AB6F-2DE334B29033}"/>
    <cellStyle name="Normal 2 5 11" xfId="3766" xr:uid="{231E816C-736F-4328-A6E8-0949F4B43518}"/>
    <cellStyle name="Normal 2 5 12" xfId="3767" xr:uid="{654235D8-A84F-4FDF-8827-511A63F9C9AE}"/>
    <cellStyle name="Normal 2 5 2" xfId="1931" xr:uid="{D7B98825-45CC-47BF-9A0A-7592AACC798F}"/>
    <cellStyle name="Normal 2 5 3" xfId="1932" xr:uid="{20CD8916-3181-4F9D-BE21-80B5B69D1DA4}"/>
    <cellStyle name="Normal 2 5 4" xfId="1933" xr:uid="{9764342D-AC9C-4B5B-8D3D-EF2D791DE761}"/>
    <cellStyle name="Normal 2 5 5" xfId="1934" xr:uid="{FB128AFE-F68A-4248-8A96-D8439022752D}"/>
    <cellStyle name="Normal 2 5 6" xfId="1935" xr:uid="{DA427FCA-C19F-44A5-AC9E-3479AF1E7169}"/>
    <cellStyle name="Normal 2 5 7" xfId="1936" xr:uid="{4FF5CB08-4DE7-40AB-84AD-AD4FE0EAD560}"/>
    <cellStyle name="Normal 2 5 8" xfId="3768" xr:uid="{F7754447-8F0A-4625-BEF5-A5091A0CADA3}"/>
    <cellStyle name="Normal 2 5 9" xfId="3769" xr:uid="{9B73E369-CD91-410E-9144-AA92E7E38687}"/>
    <cellStyle name="Normal 2 5_ContasExternas" xfId="3770" xr:uid="{9CAB7942-4EA0-44FD-AA10-43303E108780}"/>
    <cellStyle name="Normal 2 6" xfId="1937" xr:uid="{821FFFC5-94DC-4392-8071-13CEB8F0CC79}"/>
    <cellStyle name="Normal 2 6 10" xfId="3771" xr:uid="{B9C333AB-49B9-4C84-AB4D-B3DB06F6A7B0}"/>
    <cellStyle name="Normal 2 6 11" xfId="3772" xr:uid="{189AEE54-88B2-4D32-8D6B-3CB6CD757626}"/>
    <cellStyle name="Normal 2 6 12" xfId="3773" xr:uid="{0BFC9AF9-530E-4052-82DE-648C48C494E6}"/>
    <cellStyle name="Normal 2 6 2" xfId="1938" xr:uid="{B912B129-2A36-474C-84EB-5B6A1E36DE6D}"/>
    <cellStyle name="Normal 2 6 3" xfId="1939" xr:uid="{8F27F7EC-1FFE-410F-ABB2-1D4196A3F557}"/>
    <cellStyle name="Normal 2 6 4" xfId="1940" xr:uid="{E8116CF4-6EC0-4534-AEBA-0A5DCFCDE75E}"/>
    <cellStyle name="Normal 2 6 5" xfId="1941" xr:uid="{3824B921-DD7C-451A-9F1B-C7B00C6716FC}"/>
    <cellStyle name="Normal 2 6 6" xfId="1942" xr:uid="{89CCD989-8651-4F11-837E-73E45C1B00BC}"/>
    <cellStyle name="Normal 2 6 7" xfId="1943" xr:uid="{1C93770A-40C3-42FA-8A04-A83C7596CD06}"/>
    <cellStyle name="Normal 2 6 8" xfId="3774" xr:uid="{B52D477E-6CE4-4CF2-9A23-AA711E6B2A12}"/>
    <cellStyle name="Normal 2 6 9" xfId="3775" xr:uid="{10E4C555-1847-49C3-9720-569955B7D53E}"/>
    <cellStyle name="Normal 2 6_ContasExternas" xfId="3776" xr:uid="{E5451C55-1C30-4CD0-A9D5-91262B1B5BD0}"/>
    <cellStyle name="Normal 2 7" xfId="1944" xr:uid="{69B6FD52-B267-4A8F-9AB0-01517F3397CD}"/>
    <cellStyle name="Normal 2 7 10" xfId="3777" xr:uid="{C22956CD-CE82-4D20-AAFF-78818DEFEE5F}"/>
    <cellStyle name="Normal 2 7 11" xfId="3778" xr:uid="{BA4A1743-F9B2-43B7-9826-1724ACBAB50C}"/>
    <cellStyle name="Normal 2 7 12" xfId="3779" xr:uid="{3DF5F66D-0194-49CD-8C7C-11B3B059D30C}"/>
    <cellStyle name="Normal 2 7 2" xfId="1945" xr:uid="{04605C71-A785-4333-9E11-F8D156085EF1}"/>
    <cellStyle name="Normal 2 7 3" xfId="1946" xr:uid="{D1D17435-8277-457F-9A64-8E9868DEDB7A}"/>
    <cellStyle name="Normal 2 7 4" xfId="1947" xr:uid="{6BDD51EE-39C7-4B40-8F46-757438F7CE6B}"/>
    <cellStyle name="Normal 2 7 5" xfId="1948" xr:uid="{0375B3CD-D287-40B0-B0A3-338AA7AED174}"/>
    <cellStyle name="Normal 2 7 6" xfId="1949" xr:uid="{D987187C-562C-41DE-B43B-A7687587BD6A}"/>
    <cellStyle name="Normal 2 7 7" xfId="1950" xr:uid="{1816FBCF-59F4-45E9-B05E-D14CC4391549}"/>
    <cellStyle name="Normal 2 7 8" xfId="3780" xr:uid="{FF13E570-4D51-45A2-B131-BA46248C2D6A}"/>
    <cellStyle name="Normal 2 7 9" xfId="3781" xr:uid="{D2C93697-1DDC-4DA2-ABF0-FAC9CF0D26CB}"/>
    <cellStyle name="Normal 2 7_ContasExternas" xfId="3782" xr:uid="{5678E081-B4AA-4B2A-8778-1CF6B2FAAE75}"/>
    <cellStyle name="Normal 2 8" xfId="1951" xr:uid="{C80D7B31-1E26-4BE6-8B37-2172DA87253F}"/>
    <cellStyle name="Normal 2 8 10" xfId="3783" xr:uid="{BE2CE0BA-DDC5-4167-B19D-572B506438BA}"/>
    <cellStyle name="Normal 2 8 11" xfId="3784" xr:uid="{2D9FDDFB-93FA-4A14-BCD3-ADBAA2F4835E}"/>
    <cellStyle name="Normal 2 8 12" xfId="3785" xr:uid="{38405A18-863A-4F06-AD16-036E5F25C9D5}"/>
    <cellStyle name="Normal 2 8 2" xfId="1952" xr:uid="{8D8B58A3-8C5D-47A9-A55E-C7A57834A50F}"/>
    <cellStyle name="Normal 2 8 3" xfId="1953" xr:uid="{9210B33E-8FE8-4E04-8CB8-3E91DE68A15E}"/>
    <cellStyle name="Normal 2 8 4" xfId="1954" xr:uid="{22923FED-8B90-48E9-92B8-3C5F0F2DC157}"/>
    <cellStyle name="Normal 2 8 5" xfId="1955" xr:uid="{576025B3-48AB-43CD-87EE-842256B6EFCD}"/>
    <cellStyle name="Normal 2 8 6" xfId="1956" xr:uid="{51987CA4-CD9A-4F04-959D-0C6CE02E9F08}"/>
    <cellStyle name="Normal 2 8 7" xfId="1957" xr:uid="{E8379210-2D32-439D-969F-8E1D957E216C}"/>
    <cellStyle name="Normal 2 8 8" xfId="3786" xr:uid="{18BCF6F9-D288-4B17-8BB7-26F3586ECAD3}"/>
    <cellStyle name="Normal 2 8 9" xfId="3787" xr:uid="{2598CE05-7273-427B-A894-5880EE38EA45}"/>
    <cellStyle name="Normal 2 8_ContasExternas" xfId="3788" xr:uid="{FF8B38CE-56BD-4D9B-9978-3AE27FC00C6E}"/>
    <cellStyle name="Normal 2 9" xfId="1958" xr:uid="{971835A7-9DC6-43A4-91B5-A2E263CEC14D}"/>
    <cellStyle name="Normal 2 9 10" xfId="3789" xr:uid="{59642423-2E38-425C-B43C-26E850A13FCF}"/>
    <cellStyle name="Normal 2 9 11" xfId="3790" xr:uid="{86548CC0-A3AC-4F28-8104-2B97C4900576}"/>
    <cellStyle name="Normal 2 9 12" xfId="3791" xr:uid="{7FEAF0D7-2321-4E0A-A927-FAAFBCB65AC2}"/>
    <cellStyle name="Normal 2 9 2" xfId="1959" xr:uid="{6AD39499-7C28-4B2C-B7CD-6E12575EFD5B}"/>
    <cellStyle name="Normal 2 9 3" xfId="1960" xr:uid="{A0FECA08-30F9-469C-8D69-FC7E3C2DF341}"/>
    <cellStyle name="Normal 2 9 4" xfId="1961" xr:uid="{CEFC9D56-4A2C-4829-A725-B4E9CF5884E1}"/>
    <cellStyle name="Normal 2 9 5" xfId="1962" xr:uid="{AE87FDCD-ADD5-4753-BC85-76905737BC92}"/>
    <cellStyle name="Normal 2 9 6" xfId="1963" xr:uid="{D98B1008-9015-4356-83FF-73FFF8DB6F47}"/>
    <cellStyle name="Normal 2 9 7" xfId="1964" xr:uid="{BEDC4CE4-3D9E-4600-87A6-2E8C56D296B8}"/>
    <cellStyle name="Normal 2 9 8" xfId="3792" xr:uid="{A7EB396B-8B19-459A-BBBE-5F6A576EC5D2}"/>
    <cellStyle name="Normal 2 9 9" xfId="3793" xr:uid="{B48C0F3F-6D29-4BCC-B81F-F087756104E6}"/>
    <cellStyle name="Normal 2 9_ContasExternas" xfId="3794" xr:uid="{047EFB4C-A586-418C-B7AD-B9AA7B6B5B7C}"/>
    <cellStyle name="Normal 2_ContasExternas" xfId="3795" xr:uid="{AD7C97FC-A09F-447F-B48A-8F2372748221}"/>
    <cellStyle name="Normal 20" xfId="3796" xr:uid="{515537E1-96E9-4C60-8F2D-222D54CD65E9}"/>
    <cellStyle name="Normal 21" xfId="3797" xr:uid="{009BFCFE-8506-4B0C-8D3A-56BB9D851198}"/>
    <cellStyle name="Normal 22" xfId="3798" xr:uid="{FA6770C6-5975-435C-9224-8F876421DB78}"/>
    <cellStyle name="Normal 23" xfId="3799" xr:uid="{D28BFEF0-20C2-4BAD-BAFF-B3E15FF15228}"/>
    <cellStyle name="Normal 24" xfId="3800" xr:uid="{39499972-ACDE-4206-A959-7B9B324B2409}"/>
    <cellStyle name="Normal 25" xfId="3801" xr:uid="{091E4CCF-F259-4470-B494-239AD9F2B20B}"/>
    <cellStyle name="Normal 26" xfId="3802" xr:uid="{D0213C52-CD5D-4671-AF56-E4649490E447}"/>
    <cellStyle name="Normal 27" xfId="3803" xr:uid="{80E72999-CAE4-4B39-AB1D-FF86D2007CC9}"/>
    <cellStyle name="Normal 28" xfId="3804" xr:uid="{EC8F18D2-FEFE-4942-A075-E8EB8F44FF71}"/>
    <cellStyle name="Normal 29" xfId="3805" xr:uid="{61939806-39E7-49BD-A5FF-3A1CD1E66B61}"/>
    <cellStyle name="Normal 3" xfId="12" xr:uid="{2A7BADB3-E184-46BC-A438-62840D440BED}"/>
    <cellStyle name="Normal 3 2" xfId="104" xr:uid="{627C8AEB-0660-4A94-9245-CD1CF2A312AA}"/>
    <cellStyle name="Normal 3 3" xfId="40" xr:uid="{63868F41-183E-4F15-80A9-1F1F7E9182E9}"/>
    <cellStyle name="Normal 3_Trimestral" xfId="3806" xr:uid="{D0C217CC-8D79-415A-8AF1-AE712AC6D130}"/>
    <cellStyle name="Normal 30" xfId="3807" xr:uid="{FF3F8513-2D96-4D26-88DE-8BBFA2723681}"/>
    <cellStyle name="Normal 31" xfId="171" xr:uid="{9EE45EDD-34D6-4637-9D90-DB30BBBEE11F}"/>
    <cellStyle name="Normal 4" xfId="41" xr:uid="{9AA7DABD-8570-4CC9-A2D1-C8F3A353FFE1}"/>
    <cellStyle name="Normal 4 2" xfId="3808" xr:uid="{3B0AC312-926E-4964-A531-68292E5494AF}"/>
    <cellStyle name="Normal 4 3" xfId="3809" xr:uid="{5858772A-7C46-4491-98E1-EB8896A56E27}"/>
    <cellStyle name="Normal 4 4" xfId="3810" xr:uid="{3C8B3588-9A88-4D00-85D5-EFCE3F3C35B9}"/>
    <cellStyle name="Normal 4_ContasExternas" xfId="3811" xr:uid="{FEB83215-EA75-493B-92A6-1DF82CA73958}"/>
    <cellStyle name="Normal 5" xfId="56" xr:uid="{5F6FB763-7954-4E91-BB52-127E3E2A8F61}"/>
    <cellStyle name="Normal 6" xfId="15" xr:uid="{AA42DD66-7F77-4F14-8378-D81A028F0343}"/>
    <cellStyle name="Normal 6 2" xfId="186" xr:uid="{CB6FAAF6-A914-4E5F-9E81-8F2456DBAABA}"/>
    <cellStyle name="Normal 7" xfId="190" xr:uid="{EF8C8894-9F81-4340-ACDD-16FDF39D8C32}"/>
    <cellStyle name="Normal 8" xfId="205" xr:uid="{D27E4214-8372-49DF-A80E-3CE6C4D70F75}"/>
    <cellStyle name="Normal 8 10" xfId="3812" xr:uid="{3DECD27B-EE1E-495F-8445-B5ABA75210CB}"/>
    <cellStyle name="Normal 8 11" xfId="3813" xr:uid="{F3B192AB-FF6A-4CBE-82DB-7246FEAF50AC}"/>
    <cellStyle name="Normal 8 12" xfId="3814" xr:uid="{33B8E7AD-3B3F-4A78-BFC3-5527A96B04A5}"/>
    <cellStyle name="Normal 8 2" xfId="1965" xr:uid="{A11481EF-44A1-403E-A11F-01A93A504622}"/>
    <cellStyle name="Normal 8 3" xfId="1966" xr:uid="{9EA1AE3D-15A5-4E49-98FD-3626DE0F1B24}"/>
    <cellStyle name="Normal 8 4" xfId="1967" xr:uid="{CDDE5178-3949-46AA-9B47-4D7CB473EB45}"/>
    <cellStyle name="Normal 8 5" xfId="1968" xr:uid="{88239586-0FA5-428D-94CA-5AEC081CE851}"/>
    <cellStyle name="Normal 8 6" xfId="1969" xr:uid="{A81BF614-D96B-44BE-A57F-2B7CCE29007D}"/>
    <cellStyle name="Normal 8 7" xfId="1970" xr:uid="{DDA34FAF-30D2-4D0D-B903-D17E0DD7446F}"/>
    <cellStyle name="Normal 8 8" xfId="3815" xr:uid="{347923ED-C2A3-493A-8448-51D0884357D5}"/>
    <cellStyle name="Normal 8 9" xfId="3816" xr:uid="{FBF7A0EC-1ED0-4373-8E3D-C65EB9050597}"/>
    <cellStyle name="Normal 8_ContasExternas" xfId="3817" xr:uid="{FE2C34B8-E2EB-453A-9EAA-64F0618AAD6C}"/>
    <cellStyle name="Normal 9" xfId="222" xr:uid="{97955C3C-C854-41B1-A64D-6CF4C3A78992}"/>
    <cellStyle name="Nota" xfId="8" xr:uid="{1406BC13-01CA-4D7E-A899-B8BBD43EA023}"/>
    <cellStyle name="Nota 10" xfId="3819" xr:uid="{C77B2E73-90F1-4AD5-80E1-31B7A814A60D}"/>
    <cellStyle name="Nota 10 2" xfId="4297" xr:uid="{3E41D5C2-22C1-48F3-86A9-E766ADB4E3A8}"/>
    <cellStyle name="Nota 10 2 2" xfId="4780" xr:uid="{234BC947-99A2-41AD-86B3-45DC8A75DD48}"/>
    <cellStyle name="Nota 10 3" xfId="4416" xr:uid="{EA9039EA-299D-4CA1-A6B5-0653F8888EC3}"/>
    <cellStyle name="Nota 11" xfId="3820" xr:uid="{C58D25F7-4F4B-42B2-A20D-E325BA322E3D}"/>
    <cellStyle name="Nota 11 2" xfId="4298" xr:uid="{7183AE53-798B-470A-A191-9A81D94AD65D}"/>
    <cellStyle name="Nota 11 2 2" xfId="4781" xr:uid="{7D959410-0181-42E4-9558-26E9181A1243}"/>
    <cellStyle name="Nota 11 3" xfId="4417" xr:uid="{F681C037-81DF-494B-A794-90A8A5D38D0B}"/>
    <cellStyle name="Nota 12" xfId="3821" xr:uid="{223E212F-0EBC-4EC4-BE3D-503ED0BA2735}"/>
    <cellStyle name="Nota 12 2" xfId="4299" xr:uid="{77BCD221-4B1E-4CED-A9C6-32BEAF61AEE1}"/>
    <cellStyle name="Nota 12 2 2" xfId="4782" xr:uid="{BA8E329F-A13E-4312-9FEF-7EE0ABEC57E8}"/>
    <cellStyle name="Nota 12 3" xfId="4418" xr:uid="{5597043E-2048-4D5D-8E4E-F3990A431C77}"/>
    <cellStyle name="Nota 13" xfId="4100" xr:uid="{0A7C8497-36CF-4C53-B8C6-9459A6B7F510}"/>
    <cellStyle name="Nota 13 2" xfId="4669" xr:uid="{865BCDF6-76FB-458C-B97A-B964A74842AB}"/>
    <cellStyle name="Nota 14" xfId="4375" xr:uid="{3DB2A822-BAE2-491F-9C32-5592170ECF0F}"/>
    <cellStyle name="Nota 2" xfId="175" xr:uid="{53E67382-920B-4B73-AB0E-1A77EEA192F3}"/>
    <cellStyle name="Nota 2 2" xfId="1971" xr:uid="{AD4B3D42-F68E-4597-8BC1-76D4AAA9741A}"/>
    <cellStyle name="Nota 2 2 2" xfId="4113" xr:uid="{F250E5D2-D70C-4D57-AA25-6F5978A12C8A}"/>
    <cellStyle name="Nota 2 2 2 2" xfId="4672" xr:uid="{A3501154-1496-4A54-A581-E1F960A52805}"/>
    <cellStyle name="Nota 2 2 3" xfId="4112" xr:uid="{F534D7F5-7165-4FA3-9C3C-75A831348252}"/>
    <cellStyle name="Nota 2 3" xfId="4108" xr:uid="{8CA6E064-447E-4874-8176-896C7322EC20}"/>
    <cellStyle name="Nota 2 3 2" xfId="4670" xr:uid="{635AF163-01C4-4BAF-8FA1-800A48EF68AD}"/>
    <cellStyle name="Nota 2 4" xfId="4107" xr:uid="{240FCC00-39BB-4028-B8C2-FEDE6FDAC2C0}"/>
    <cellStyle name="Nota 2_Trimestral" xfId="3822" xr:uid="{559B11E9-C79F-4BA8-8FA9-BA0477CC4AE6}"/>
    <cellStyle name="Nota 3" xfId="183" xr:uid="{DA53E6CD-F343-4DBE-98D1-A0C65D9B6023}"/>
    <cellStyle name="Nota 3 2" xfId="1972" xr:uid="{58EBD3D3-B9AF-45B0-B7A7-6D184C995AC2}"/>
    <cellStyle name="Nota 3 2 2" xfId="4114" xr:uid="{F396D01C-25C1-4FE8-871E-E871DFEC1CF2}"/>
    <cellStyle name="Nota 3 2 2 2" xfId="4673" xr:uid="{C32EBD99-1CBE-4E91-9A35-53A9C50CC3A5}"/>
    <cellStyle name="Nota 3 2 3" xfId="4111" xr:uid="{5645D576-0C81-44AB-9192-533560327EE5}"/>
    <cellStyle name="Nota 3 3" xfId="4109" xr:uid="{377DB1E2-EEA3-4496-934C-13161E1F6565}"/>
    <cellStyle name="Nota 3 3 2" xfId="4671" xr:uid="{8C2B6156-A2FF-4B28-8EB4-E854C3BD6143}"/>
    <cellStyle name="Nota 3 4" xfId="4088" xr:uid="{4BD78498-1450-41E0-8727-FC24677F2563}"/>
    <cellStyle name="Nota 3_Trimestral" xfId="3823" xr:uid="{146FFEEA-1A03-4826-A0DB-6E3679AB59E4}"/>
    <cellStyle name="Nota 4" xfId="1973" xr:uid="{8EE78EAA-AAC1-41CE-9450-C7D417DE6745}"/>
    <cellStyle name="Nota 4 2" xfId="4115" xr:uid="{96BCCC95-4172-41DC-A657-4628E3C62566}"/>
    <cellStyle name="Nota 4 2 2" xfId="4674" xr:uid="{35D8EFFA-3B9F-4CDC-86A2-6B6CCB335047}"/>
    <cellStyle name="Nota 4 3" xfId="4224" xr:uid="{F7C98F74-1226-48A3-88FF-0EF598C0A7C6}"/>
    <cellStyle name="Nota 5" xfId="1974" xr:uid="{A00A167D-17FA-4E29-B691-313282AAC481}"/>
    <cellStyle name="Nota 5 2" xfId="4116" xr:uid="{E8EA0623-83F2-46EE-8C10-140AC37096C9}"/>
    <cellStyle name="Nota 5 2 2" xfId="4675" xr:uid="{81F0ACFA-4D01-4F70-BBB5-8121BDF8C3BE}"/>
    <cellStyle name="Nota 5 3" xfId="4223" xr:uid="{307C8171-5510-4803-9CA5-D008F1473BB2}"/>
    <cellStyle name="Nota 6" xfId="1975" xr:uid="{A5ED1A3F-3B92-4815-B981-A05B98EFA8A6}"/>
    <cellStyle name="Nota 6 2" xfId="4117" xr:uid="{FD96A081-2D8B-4070-87B4-264B6DCD2CC6}"/>
    <cellStyle name="Nota 6 2 2" xfId="4676" xr:uid="{F12F09FF-FFBA-4E19-AD16-F3EBB1983707}"/>
    <cellStyle name="Nota 6 3" xfId="4222" xr:uid="{F56CC459-F95D-40E1-9B3B-E50A528DA1BE}"/>
    <cellStyle name="Nota 7" xfId="1976" xr:uid="{72B4CC17-BABD-432A-BF1A-5422C7368368}"/>
    <cellStyle name="Nota 7 2" xfId="4118" xr:uid="{3C3D88B6-2212-4DA0-BC69-E91F9F475EAC}"/>
    <cellStyle name="Nota 7 2 2" xfId="4677" xr:uid="{4138BE6B-5C44-4827-BC2B-89E44E240484}"/>
    <cellStyle name="Nota 7 3" xfId="4110" xr:uid="{23E98D15-84FD-4A32-BDA5-0FCB1831F07C}"/>
    <cellStyle name="Nota 8" xfId="3824" xr:uid="{C0C69C8B-7214-4C02-9657-EB708605B6E6}"/>
    <cellStyle name="Nota 8 2" xfId="4300" xr:uid="{E2F18C17-7CDE-4A42-8859-9690BE15B1D5}"/>
    <cellStyle name="Nota 8 2 2" xfId="4783" xr:uid="{78384883-9B32-4AED-B41A-71BC3D6FA8A1}"/>
    <cellStyle name="Nota 8 3" xfId="4419" xr:uid="{2C0D3B6A-9CA0-4A4F-B475-90A2C3E0C43B}"/>
    <cellStyle name="Nota 9" xfId="3825" xr:uid="{F8690DA9-5FFE-46C1-B143-B2A536A12749}"/>
    <cellStyle name="Nota 9 2" xfId="4301" xr:uid="{1860885D-DA28-44AA-9C58-42C215BCC049}"/>
    <cellStyle name="Nota 9 2 2" xfId="4784" xr:uid="{DAF9120B-26B0-490D-A300-18BFBD067C73}"/>
    <cellStyle name="Nota 9 3" xfId="4420" xr:uid="{4A4A5108-34FE-4448-A011-D92BE74F08B3}"/>
    <cellStyle name="Nota_Trimestral" xfId="3818" xr:uid="{EBE7ABBC-B270-4630-814C-6F9055CAB7B6}"/>
    <cellStyle name="Note 2" xfId="1977" xr:uid="{138F6663-0756-4B00-B121-5442368CB7FA}"/>
    <cellStyle name="Note 2 10" xfId="3827" xr:uid="{5B57334F-DE16-405F-AAEF-76C3A4440DB8}"/>
    <cellStyle name="Note 2 10 2" xfId="4302" xr:uid="{8D5E8F55-66B7-4E46-A4CB-2C96DA6087D3}"/>
    <cellStyle name="Note 2 10 2 2" xfId="4785" xr:uid="{793F91B8-96DA-4871-B1C5-09904BCDAD98}"/>
    <cellStyle name="Note 2 10 3" xfId="4421" xr:uid="{27138A8A-ABB1-4E2D-A169-893ADADC8249}"/>
    <cellStyle name="Note 2 11" xfId="3828" xr:uid="{DCA94C9C-12ED-4CF3-B26A-1191B2E23FC6}"/>
    <cellStyle name="Note 2 11 2" xfId="4303" xr:uid="{8CDA06BB-B81C-48F0-9CF3-DE93E6F1AEFA}"/>
    <cellStyle name="Note 2 11 2 2" xfId="4786" xr:uid="{181885F0-1CC8-487A-AD72-ABB13D8B1A05}"/>
    <cellStyle name="Note 2 11 3" xfId="4422" xr:uid="{78E47C46-8FA0-4DAD-B884-7FF750053ACC}"/>
    <cellStyle name="Note 2 12" xfId="3829" xr:uid="{E33A6262-ADE0-4D29-9CF2-AEA001F22339}"/>
    <cellStyle name="Note 2 12 2" xfId="4304" xr:uid="{3FE3040B-7F3C-429C-B844-FDB8C29E8AAD}"/>
    <cellStyle name="Note 2 12 2 2" xfId="4787" xr:uid="{A97CA950-DB83-4182-BFAB-D4AE67FB99EA}"/>
    <cellStyle name="Note 2 12 3" xfId="4423" xr:uid="{B7BDB210-365E-4AE7-B577-E7BDCC359566}"/>
    <cellStyle name="Note 2 2" xfId="1978" xr:uid="{625CE4FD-1211-47CF-A720-C1223631F03C}"/>
    <cellStyle name="Note 2 3" xfId="1979" xr:uid="{DF423ECB-DEC9-4F35-B2D6-E4AE33CB680E}"/>
    <cellStyle name="Note 2 4" xfId="1980" xr:uid="{5B7606FE-B034-4A4B-8F70-924AFC3D33D1}"/>
    <cellStyle name="Note 2 5" xfId="1981" xr:uid="{5C77DCD3-8DF3-46E9-BD90-0BE55A7CCCC4}"/>
    <cellStyle name="Note 2 6" xfId="1982" xr:uid="{DC4D775A-6133-4DE6-84FD-C5051C590A59}"/>
    <cellStyle name="Note 2 7" xfId="1983" xr:uid="{FEC2856E-334B-4E38-82F1-031D755A56D1}"/>
    <cellStyle name="Note 2 8" xfId="3830" xr:uid="{6B1B4E23-7641-4068-A041-C07BD88ED501}"/>
    <cellStyle name="Note 2 8 2" xfId="4305" xr:uid="{482C3F87-11E8-4C56-8E52-2B64E9FC8BAC}"/>
    <cellStyle name="Note 2 8 2 2" xfId="4788" xr:uid="{F0320700-E065-4C6F-992E-70073F925319}"/>
    <cellStyle name="Note 2 8 3" xfId="4424" xr:uid="{4CD46527-5DAF-4A1D-835B-C681863224E6}"/>
    <cellStyle name="Note 2 9" xfId="3831" xr:uid="{AA2DBF5F-3B2F-4342-9946-B8363C1B115E}"/>
    <cellStyle name="Note 2 9 2" xfId="4306" xr:uid="{09752364-E7AD-49C2-80A6-7A987D7B4DE2}"/>
    <cellStyle name="Note 2 9 2 2" xfId="4789" xr:uid="{9DCB32A7-BD1D-4630-B520-A876BD0A8AA2}"/>
    <cellStyle name="Note 2 9 3" xfId="4425" xr:uid="{352506FB-3F2D-4A7E-99B7-B46171E451B5}"/>
    <cellStyle name="Note 2_Trimestral" xfId="3826" xr:uid="{B44EF341-A96B-46E7-97C4-F5E9DCD6CC1F}"/>
    <cellStyle name="Note 3" xfId="1984" xr:uid="{358D4579-CADB-499E-9D06-85E8D1193185}"/>
    <cellStyle name="Note 3 10" xfId="3833" xr:uid="{128E564A-3CD5-4F67-9EF6-69683EBD32DD}"/>
    <cellStyle name="Note 3 10 2" xfId="4307" xr:uid="{E0F8C1B4-21D4-4FB4-A214-358503FC3792}"/>
    <cellStyle name="Note 3 10 2 2" xfId="4790" xr:uid="{F96F0D62-D08C-478D-B257-B5B52573E35B}"/>
    <cellStyle name="Note 3 10 3" xfId="4426" xr:uid="{1C9086E1-6EA2-4CB9-9BF3-736C2D863BF7}"/>
    <cellStyle name="Note 3 11" xfId="3834" xr:uid="{712677D6-571C-4098-842F-4739136E1474}"/>
    <cellStyle name="Note 3 11 2" xfId="4308" xr:uid="{E4589BAB-015B-4E5E-A26B-6832E33A4F77}"/>
    <cellStyle name="Note 3 11 2 2" xfId="4791" xr:uid="{C9394437-C1F5-4AC2-8565-41FA07FB6DD9}"/>
    <cellStyle name="Note 3 11 3" xfId="4427" xr:uid="{09ACEE26-ED5F-43A5-BC55-74944BE69573}"/>
    <cellStyle name="Note 3 12" xfId="3835" xr:uid="{D76D8BA9-4A45-4CDD-AF8C-12710CF74FE1}"/>
    <cellStyle name="Note 3 12 2" xfId="4309" xr:uid="{D85F6EC1-D1F5-4048-80E9-6310717EEAA4}"/>
    <cellStyle name="Note 3 12 2 2" xfId="4792" xr:uid="{2159F78C-E8FB-47E6-86C3-7D6075415FDD}"/>
    <cellStyle name="Note 3 12 3" xfId="4428" xr:uid="{0B07AE96-A014-42D0-9675-FA9DC635C672}"/>
    <cellStyle name="Note 3 2" xfId="1985" xr:uid="{69214997-0CA5-4943-9EC2-E708333A9E41}"/>
    <cellStyle name="Note 3 3" xfId="1986" xr:uid="{577D3381-84AB-45BE-871F-39C2C78E1350}"/>
    <cellStyle name="Note 3 4" xfId="1987" xr:uid="{8CBFA18B-9C65-4D57-8918-8A1988229219}"/>
    <cellStyle name="Note 3 5" xfId="1988" xr:uid="{31AE4DFB-D49E-43C7-BD0D-B428C666D612}"/>
    <cellStyle name="Note 3 6" xfId="1989" xr:uid="{E2F88FCA-2E81-4671-AB00-789AD898A397}"/>
    <cellStyle name="Note 3 7" xfId="1990" xr:uid="{1278F2F0-49CF-4C20-A702-7006428074C4}"/>
    <cellStyle name="Note 3 8" xfId="3836" xr:uid="{D65A259C-BCB7-41E1-AC88-85ED1576404F}"/>
    <cellStyle name="Note 3 8 2" xfId="4310" xr:uid="{EF310CE9-972A-452D-AF17-06EB555E4F45}"/>
    <cellStyle name="Note 3 8 2 2" xfId="4793" xr:uid="{30E4BA97-2A5F-4B9D-9FC6-280F9AD7AEB5}"/>
    <cellStyle name="Note 3 8 3" xfId="4429" xr:uid="{CDA00A96-533D-4C83-8476-0264C0173542}"/>
    <cellStyle name="Note 3 9" xfId="3837" xr:uid="{6AB1E3D2-EDC4-4673-A12B-B01FF168975B}"/>
    <cellStyle name="Note 3 9 2" xfId="4311" xr:uid="{72AF0B69-8481-42F3-9300-4A8FAABAB11D}"/>
    <cellStyle name="Note 3 9 2 2" xfId="4794" xr:uid="{2DF0E65C-C62A-49F2-92F1-C09D5F584093}"/>
    <cellStyle name="Note 3 9 3" xfId="4430" xr:uid="{CB602E1E-5A9F-476C-AC1E-9DF005AB56AC}"/>
    <cellStyle name="Note 3_Trimestral" xfId="3832" xr:uid="{577290A1-1E57-4A8C-A1BA-8932D56C701B}"/>
    <cellStyle name="Note 4" xfId="1991" xr:uid="{21093418-57FB-496A-8EBD-912E466CE889}"/>
    <cellStyle name="Note 4 10" xfId="3839" xr:uid="{4938CEB2-6035-42BA-A53B-D7EDCBA986F9}"/>
    <cellStyle name="Note 4 10 2" xfId="4312" xr:uid="{1C393C7A-B5C5-4416-B7D6-F7864D3757EE}"/>
    <cellStyle name="Note 4 10 2 2" xfId="4795" xr:uid="{43A75A43-4B8F-4D0D-9EA5-3C4382C98140}"/>
    <cellStyle name="Note 4 10 3" xfId="4431" xr:uid="{795AE8CC-A03D-4523-8634-F55D03B08BF1}"/>
    <cellStyle name="Note 4 11" xfId="3840" xr:uid="{0E667E36-B17B-4224-BDB1-27DF9B266071}"/>
    <cellStyle name="Note 4 11 2" xfId="4313" xr:uid="{24D27106-148C-408A-ABCB-B930778216E3}"/>
    <cellStyle name="Note 4 11 2 2" xfId="4796" xr:uid="{E3408B08-2461-49B0-8303-7E658294B20E}"/>
    <cellStyle name="Note 4 11 3" xfId="4432" xr:uid="{28FBC5AD-F733-447C-AB70-8D83E5F7DFD5}"/>
    <cellStyle name="Note 4 12" xfId="3841" xr:uid="{3A456834-88B2-4BA1-8D9D-C8C1AA60B982}"/>
    <cellStyle name="Note 4 12 2" xfId="4314" xr:uid="{64BD6C57-CBB2-4C73-AC08-C968FCC3302B}"/>
    <cellStyle name="Note 4 12 2 2" xfId="4797" xr:uid="{01CFAD28-7A31-48ED-AE72-4E6CEFE021E6}"/>
    <cellStyle name="Note 4 12 3" xfId="4433" xr:uid="{398A9EEA-98BC-4736-B8E8-EFADA496DDF2}"/>
    <cellStyle name="Note 4 2" xfId="1992" xr:uid="{8C1F18E3-AA76-42BB-8B28-B4B8E2100EBD}"/>
    <cellStyle name="Note 4 3" xfId="1993" xr:uid="{A9F6FFC1-2356-4BD0-B3AB-E0CE40E944CB}"/>
    <cellStyle name="Note 4 4" xfId="1994" xr:uid="{5946103B-478C-453D-B4F3-58B4C8D0B910}"/>
    <cellStyle name="Note 4 5" xfId="1995" xr:uid="{F6B06095-2438-4CC2-A130-833EB1347446}"/>
    <cellStyle name="Note 4 6" xfId="1996" xr:uid="{9E5817F1-6620-4AF8-A4A2-3CDD43F602ED}"/>
    <cellStyle name="Note 4 7" xfId="1997" xr:uid="{4A4B1058-49F8-4DD3-805F-89884B8AC056}"/>
    <cellStyle name="Note 4 8" xfId="3842" xr:uid="{DD835F9B-0131-4603-A62E-B6C61254FE48}"/>
    <cellStyle name="Note 4 8 2" xfId="4315" xr:uid="{249B9FA8-06B2-46DA-BCA9-5A1CC9AB7FFC}"/>
    <cellStyle name="Note 4 8 2 2" xfId="4798" xr:uid="{A7C20638-6F77-44BE-989A-227DF70D88B3}"/>
    <cellStyle name="Note 4 8 3" xfId="4434" xr:uid="{C894BBE0-D184-430B-A459-1A3A54E57E72}"/>
    <cellStyle name="Note 4 9" xfId="3843" xr:uid="{B82FA0C7-BEB3-4970-8DAF-ED882CB674FD}"/>
    <cellStyle name="Note 4 9 2" xfId="4316" xr:uid="{6A1CF9C0-6F1B-4093-B852-5CAED65263AA}"/>
    <cellStyle name="Note 4 9 2 2" xfId="4799" xr:uid="{BA530144-BD63-4131-B23F-1558C3D83C2A}"/>
    <cellStyle name="Note 4 9 3" xfId="4435" xr:uid="{E9C7F729-7D9E-4FED-B7B6-4F84583A2011}"/>
    <cellStyle name="Note 4_Trimestral" xfId="3838" xr:uid="{3080B5F1-A0D8-4A6A-A446-1AF047004D7C}"/>
    <cellStyle name="Note 5" xfId="1998" xr:uid="{68E437D3-138E-4949-AA42-5E791054FB5A}"/>
    <cellStyle name="Note 5 10" xfId="3845" xr:uid="{83C2F5FB-F510-41B2-B1DF-5FB3E4A91C45}"/>
    <cellStyle name="Note 5 10 2" xfId="4317" xr:uid="{34681ABD-4E6F-425C-9EEA-538066797B5E}"/>
    <cellStyle name="Note 5 10 2 2" xfId="4800" xr:uid="{F2BF80D0-9DEA-4E19-AD61-B1B088500425}"/>
    <cellStyle name="Note 5 10 3" xfId="4436" xr:uid="{5C1F91ED-9F3C-42F9-8DB5-79EE700ABA47}"/>
    <cellStyle name="Note 5 11" xfId="3846" xr:uid="{83EAF9BA-ACB4-47BC-A659-B171658A5AE2}"/>
    <cellStyle name="Note 5 11 2" xfId="4318" xr:uid="{D7715373-986C-4BCB-8F6F-32F4E4442899}"/>
    <cellStyle name="Note 5 11 2 2" xfId="4801" xr:uid="{37228099-C85E-45E7-A4FF-EB2034DEC927}"/>
    <cellStyle name="Note 5 11 3" xfId="4437" xr:uid="{C46279A2-42A9-4ABC-87A4-80366D250E79}"/>
    <cellStyle name="Note 5 12" xfId="3847" xr:uid="{BACF76AA-73AA-4D0E-A74C-B6B7D2E2E2CE}"/>
    <cellStyle name="Note 5 12 2" xfId="4319" xr:uid="{4A46E6EB-ACBE-49EE-B66C-4C6F91F28D82}"/>
    <cellStyle name="Note 5 12 2 2" xfId="4802" xr:uid="{8433201F-148E-4BEB-AA2F-7BFC310A4624}"/>
    <cellStyle name="Note 5 12 3" xfId="4438" xr:uid="{A5281944-CF6F-491A-9D25-B4BE779706A2}"/>
    <cellStyle name="Note 5 2" xfId="1999" xr:uid="{7D990243-C20F-45D2-9CF8-C2C9BB2AC060}"/>
    <cellStyle name="Note 5 3" xfId="2000" xr:uid="{709E7D3C-4F6E-4BCB-A33C-6DDB3F35221D}"/>
    <cellStyle name="Note 5 4" xfId="2001" xr:uid="{F2BBEFC6-2DBF-4B0F-8FAC-FB556D38C3B2}"/>
    <cellStyle name="Note 5 5" xfId="2002" xr:uid="{DAAF0992-9BC4-48CA-A3CC-97422A949B90}"/>
    <cellStyle name="Note 5 6" xfId="2003" xr:uid="{B4C5BDFE-58C7-40C2-B2F9-512E09546149}"/>
    <cellStyle name="Note 5 7" xfId="2004" xr:uid="{4ECE6A8B-0F08-4EA5-8DC6-2144D5A4CB20}"/>
    <cellStyle name="Note 5 8" xfId="3848" xr:uid="{C5260388-FE09-4B90-A84A-EBE7BD2E72DF}"/>
    <cellStyle name="Note 5 8 2" xfId="4320" xr:uid="{678E6B52-8114-4EBF-927B-8FF2B2E50D42}"/>
    <cellStyle name="Note 5 8 2 2" xfId="4803" xr:uid="{7EFB0598-712A-47A3-AF34-912257B4A350}"/>
    <cellStyle name="Note 5 8 3" xfId="4439" xr:uid="{8F5251A4-4FCC-41D6-B513-2FAA991FF5F6}"/>
    <cellStyle name="Note 5 9" xfId="3849" xr:uid="{76C08382-9365-4CDC-B8EA-3465EA32763B}"/>
    <cellStyle name="Note 5 9 2" xfId="4321" xr:uid="{F1A4FC94-C4AD-4CAE-8A10-621AF77E23F4}"/>
    <cellStyle name="Note 5 9 2 2" xfId="4804" xr:uid="{2EAA4FF9-AC7F-4DEB-BC2B-0F71BC92116F}"/>
    <cellStyle name="Note 5 9 3" xfId="4440" xr:uid="{972DE633-2B82-458C-BF4D-1E3B5A00C87A}"/>
    <cellStyle name="Note 5_Trimestral" xfId="3844" xr:uid="{4F201809-F5DA-4261-BB2C-3B9781B6DE8D}"/>
    <cellStyle name="Note 6" xfId="2005" xr:uid="{F0B6C84F-63FC-426E-802C-99985B392D47}"/>
    <cellStyle name="Note 6 10" xfId="3851" xr:uid="{8A47184F-BBF5-4104-BC09-6C7D9C480876}"/>
    <cellStyle name="Note 6 10 2" xfId="4322" xr:uid="{08E2C508-912E-40DC-8BB0-127B7C338FEA}"/>
    <cellStyle name="Note 6 10 2 2" xfId="4805" xr:uid="{E6F4A491-01E4-47B6-B4AD-7E441700636D}"/>
    <cellStyle name="Note 6 10 3" xfId="4441" xr:uid="{F714E856-8DDE-49F9-ADF6-E5495F59D425}"/>
    <cellStyle name="Note 6 11" xfId="3852" xr:uid="{DDED56A0-5674-42BC-8054-A67301DC1525}"/>
    <cellStyle name="Note 6 11 2" xfId="4323" xr:uid="{3FAC9719-EADE-4327-A9F3-4B9002A8DEFA}"/>
    <cellStyle name="Note 6 11 2 2" xfId="4806" xr:uid="{F82B1390-5E6C-4D68-B3A8-CCE062770D4E}"/>
    <cellStyle name="Note 6 11 3" xfId="4442" xr:uid="{148E455A-FC5A-4281-9A75-E64A55D75555}"/>
    <cellStyle name="Note 6 12" xfId="3853" xr:uid="{F11EFC66-6B97-444B-9EEF-ED9EF03FA31F}"/>
    <cellStyle name="Note 6 12 2" xfId="4324" xr:uid="{65868934-DA2B-4A9F-9464-30A86DFA1895}"/>
    <cellStyle name="Note 6 12 2 2" xfId="4807" xr:uid="{A000264F-0AD2-460A-A1C4-DBF47745C53C}"/>
    <cellStyle name="Note 6 12 3" xfId="4443" xr:uid="{FFDD9AA8-4EA3-4642-B2D0-D3BF486DB486}"/>
    <cellStyle name="Note 6 2" xfId="2006" xr:uid="{2CE89373-E7F1-4A05-8555-FEE85B258C26}"/>
    <cellStyle name="Note 6 3" xfId="2007" xr:uid="{9A6D636C-DDE0-4C77-B041-CE702F27844E}"/>
    <cellStyle name="Note 6 4" xfId="2008" xr:uid="{E3A7ECEC-4B54-4FF8-85D2-FED66108442B}"/>
    <cellStyle name="Note 6 5" xfId="2009" xr:uid="{6F7E5E95-47F9-4882-BEC3-A086EB7508C5}"/>
    <cellStyle name="Note 6 6" xfId="2010" xr:uid="{5C769308-85FD-456D-8139-BF6A4A03B154}"/>
    <cellStyle name="Note 6 7" xfId="2011" xr:uid="{79A05E0C-D896-46BA-B1DA-C8FACC0782F5}"/>
    <cellStyle name="Note 6 8" xfId="3854" xr:uid="{5D5D13D8-84A4-47C1-9F4A-711F246A2F1B}"/>
    <cellStyle name="Note 6 8 2" xfId="4325" xr:uid="{A1B4B7BE-0978-45A0-ACFF-DE55590B572D}"/>
    <cellStyle name="Note 6 8 2 2" xfId="4808" xr:uid="{2123EFEB-39B8-4EC8-A9F0-D15151770A83}"/>
    <cellStyle name="Note 6 8 3" xfId="4444" xr:uid="{81EB5F72-A6DB-4591-A3C9-BBE22C61D86F}"/>
    <cellStyle name="Note 6 9" xfId="3855" xr:uid="{BEF5387C-25D8-4F52-807A-C84E39DAF1B2}"/>
    <cellStyle name="Note 6 9 2" xfId="4326" xr:uid="{4378DEDD-4353-4F6C-BBBC-AC4454D56679}"/>
    <cellStyle name="Note 6 9 2 2" xfId="4809" xr:uid="{389C79A5-23E7-49AC-9D3B-2859775044B7}"/>
    <cellStyle name="Note 6 9 3" xfId="4445" xr:uid="{3A7F5D2D-C75A-4545-AD78-A8DDDD565366}"/>
    <cellStyle name="Note 6_Trimestral" xfId="3850" xr:uid="{0A161365-7163-44CD-9351-1B62594C7997}"/>
    <cellStyle name="Note 7" xfId="2012" xr:uid="{CC6E4C81-8763-4C5A-859B-41B60B9E5F65}"/>
    <cellStyle name="Note 7 10" xfId="3857" xr:uid="{578E8724-7F35-4011-AC93-CCC28AA59270}"/>
    <cellStyle name="Note 7 10 2" xfId="4327" xr:uid="{3B68B53C-AE0B-4E49-AA5E-45C599B4462A}"/>
    <cellStyle name="Note 7 10 2 2" xfId="4810" xr:uid="{CD7D47E3-7119-40A9-A027-DD900B6E3DD7}"/>
    <cellStyle name="Note 7 10 3" xfId="4446" xr:uid="{F1429B4C-C950-4403-A7C3-02CA9AD03D6D}"/>
    <cellStyle name="Note 7 11" xfId="3858" xr:uid="{CB332E60-8E9E-49D4-9D1C-BB5F1F5EA287}"/>
    <cellStyle name="Note 7 11 2" xfId="4328" xr:uid="{3BEC1B53-E40E-442C-9751-50A41187D37C}"/>
    <cellStyle name="Note 7 11 2 2" xfId="4811" xr:uid="{FF8C4970-FB33-4E78-A71D-42FAB446267A}"/>
    <cellStyle name="Note 7 11 3" xfId="4447" xr:uid="{0A76C986-94F0-4F04-99EB-6D23FAB224DC}"/>
    <cellStyle name="Note 7 12" xfId="3859" xr:uid="{3550D8D8-820C-419B-863A-EF67614D09EE}"/>
    <cellStyle name="Note 7 12 2" xfId="4329" xr:uid="{5A1E89FD-7E43-44FF-9220-C360ECA99F49}"/>
    <cellStyle name="Note 7 12 2 2" xfId="4812" xr:uid="{A3684E68-75B1-4DD8-B5C2-4CDD6E703951}"/>
    <cellStyle name="Note 7 12 3" xfId="4448" xr:uid="{DAF613BE-6A5E-4163-826E-12D1F06F5741}"/>
    <cellStyle name="Note 7 2" xfId="2013" xr:uid="{B44C846B-4065-4211-9A32-D73CD8171AA1}"/>
    <cellStyle name="Note 7 3" xfId="2014" xr:uid="{ACFDA828-023F-4740-8DAE-63E79E0E1F84}"/>
    <cellStyle name="Note 7 4" xfId="2015" xr:uid="{6819B97B-2248-44C4-A8D0-76318BC98079}"/>
    <cellStyle name="Note 7 5" xfId="2016" xr:uid="{F20F19D7-C87A-44F9-8925-A0A108106246}"/>
    <cellStyle name="Note 7 6" xfId="2017" xr:uid="{7D43EB13-8C02-429A-9932-4C7E032AD1C9}"/>
    <cellStyle name="Note 7 7" xfId="2018" xr:uid="{5FE4C6E2-0FE1-426B-9D27-8FABAAC86C0A}"/>
    <cellStyle name="Note 7 8" xfId="3860" xr:uid="{FF02DA7E-7EAC-499A-9976-2D914C9F79D2}"/>
    <cellStyle name="Note 7 8 2" xfId="4330" xr:uid="{6E4F5F19-9601-4D20-86F1-03F950EE289F}"/>
    <cellStyle name="Note 7 8 2 2" xfId="4813" xr:uid="{0BD18FC4-E7B2-46FA-A004-75FE039514FD}"/>
    <cellStyle name="Note 7 8 3" xfId="4449" xr:uid="{E21F1B55-069E-4C36-B8CE-EF6754C49D49}"/>
    <cellStyle name="Note 7 9" xfId="3861" xr:uid="{28C4D0AD-EC40-4EF8-96EC-C3BDB6AB8BA9}"/>
    <cellStyle name="Note 7 9 2" xfId="4331" xr:uid="{7A57FF31-5D27-4DDB-8E62-0434346297AF}"/>
    <cellStyle name="Note 7 9 2 2" xfId="4814" xr:uid="{2BC5E559-9BE1-4ECB-B3EA-5CF671C727A7}"/>
    <cellStyle name="Note 7 9 3" xfId="4450" xr:uid="{F750AD27-8950-4C66-A49F-0E8071C9B862}"/>
    <cellStyle name="Note 7_Trimestral" xfId="3856" xr:uid="{380AC3C1-786C-4AF3-B9EA-5ACE4261432D}"/>
    <cellStyle name="Note 8" xfId="2019" xr:uid="{958FAAD9-E825-4754-8065-F593F9A03AA1}"/>
    <cellStyle name="Note 8 10" xfId="3863" xr:uid="{4F0562D6-DB95-458F-A34F-1CBC6CD240E8}"/>
    <cellStyle name="Note 8 10 2" xfId="4332" xr:uid="{CDB09FED-1A21-48C6-A240-E0BD9C85A6EB}"/>
    <cellStyle name="Note 8 10 2 2" xfId="4815" xr:uid="{085D9E1C-152D-449C-9732-406489C752E3}"/>
    <cellStyle name="Note 8 10 3" xfId="4451" xr:uid="{ECAC9B2A-FDC7-4DD9-A51B-D9C9B04BAFEC}"/>
    <cellStyle name="Note 8 11" xfId="3864" xr:uid="{1D06AC04-3E7C-4C96-8A27-2B74B4DCDB6D}"/>
    <cellStyle name="Note 8 11 2" xfId="4333" xr:uid="{CB16E155-ECDC-4F9E-846C-EC31C17401A2}"/>
    <cellStyle name="Note 8 11 2 2" xfId="4816" xr:uid="{E6811028-DE51-43F8-98C6-2E6819E75467}"/>
    <cellStyle name="Note 8 11 3" xfId="4452" xr:uid="{ECBAD334-A45C-4954-B007-7482C33F9DB6}"/>
    <cellStyle name="Note 8 12" xfId="3865" xr:uid="{1B494345-F97A-4F0E-8C3E-708331C2C819}"/>
    <cellStyle name="Note 8 12 2" xfId="4334" xr:uid="{DE345C9C-EC64-43C3-ABF2-3C36C62B9248}"/>
    <cellStyle name="Note 8 12 2 2" xfId="4817" xr:uid="{1587DE4D-FB1B-481E-8C5B-1E1585ABC6D4}"/>
    <cellStyle name="Note 8 12 3" xfId="4453" xr:uid="{FA3236AC-C32E-42D4-AB5B-55D4FDFDD468}"/>
    <cellStyle name="Note 8 2" xfId="2020" xr:uid="{F1C37433-FBDD-4C7D-86EA-59929CA16A45}"/>
    <cellStyle name="Note 8 3" xfId="2021" xr:uid="{DAD5A807-71BD-4478-9FA9-61590DAEA66D}"/>
    <cellStyle name="Note 8 4" xfId="2022" xr:uid="{301D4112-EE7B-4F54-9B8D-C00FDF48855C}"/>
    <cellStyle name="Note 8 5" xfId="2023" xr:uid="{88BAC5C4-94A4-4589-AD02-551854347ACF}"/>
    <cellStyle name="Note 8 6" xfId="2024" xr:uid="{DD780F10-B432-44CB-95EA-91B3A3CCDC9E}"/>
    <cellStyle name="Note 8 7" xfId="2025" xr:uid="{FA213766-7034-4F23-9211-A07EFBC7548D}"/>
    <cellStyle name="Note 8 8" xfId="3866" xr:uid="{A19EE7B2-D24B-4AC6-B118-8A4DBF371A98}"/>
    <cellStyle name="Note 8 8 2" xfId="4335" xr:uid="{659D0C3E-4C56-463B-A357-D0B084404902}"/>
    <cellStyle name="Note 8 8 2 2" xfId="4818" xr:uid="{ADE52635-DEF8-4FFD-B30F-2F4362167C3D}"/>
    <cellStyle name="Note 8 8 3" xfId="4454" xr:uid="{F01F4262-6D51-41EC-897A-25951C8500DE}"/>
    <cellStyle name="Note 8 9" xfId="3867" xr:uid="{5DF27D96-7F77-4EA5-A7FA-E6BEAAC9ECA6}"/>
    <cellStyle name="Note 8 9 2" xfId="4336" xr:uid="{61AA28A7-39A4-4C58-970B-93A5B0D2D946}"/>
    <cellStyle name="Note 8 9 2 2" xfId="4819" xr:uid="{94DA4F63-E46C-41B8-987C-2FF318DEF6F4}"/>
    <cellStyle name="Note 8 9 3" xfId="4455" xr:uid="{8614C29A-A26E-4442-A0F2-0B653190E526}"/>
    <cellStyle name="Note 8_Trimestral" xfId="3862" xr:uid="{149C1252-2DF5-4593-A23E-8B4690EAF6C5}"/>
    <cellStyle name="Note 9" xfId="3868" xr:uid="{D27D4BB4-4A41-4076-8785-AD7831C979C6}"/>
    <cellStyle name="Note 9 2" xfId="4337" xr:uid="{9D227ED9-55A9-40D0-9E3D-5F5046745275}"/>
    <cellStyle name="Note 9 2 2" xfId="4820" xr:uid="{D1C7AA24-93B3-4797-91F4-35A3DC4B7DC6}"/>
    <cellStyle name="Note 9 3" xfId="4456" xr:uid="{DCD8056F-4BEC-455E-812A-1EC6D3F3C1C3}"/>
    <cellStyle name="Nulos" xfId="42" xr:uid="{3764B2C8-FAEC-41F1-A0F2-62F6997CFB2C}"/>
    <cellStyle name="Output" xfId="95" builtinId="21" customBuiltin="1"/>
    <cellStyle name="Output 2" xfId="2026" xr:uid="{E8665023-7050-4E2B-BBB7-36D3A4A4FEA0}"/>
    <cellStyle name="Output 2 10" xfId="3870" xr:uid="{8F084A53-9294-4B21-8830-E91C64AA285D}"/>
    <cellStyle name="Output 2 10 2" xfId="4338" xr:uid="{2404087A-A06A-4FC1-9B56-54792C2FF9FB}"/>
    <cellStyle name="Output 2 10 2 2" xfId="4821" xr:uid="{497ADBEF-1E1E-40BA-AF7D-023218108635}"/>
    <cellStyle name="Output 2 10 3" xfId="4457" xr:uid="{96245BB9-EAB4-4451-96A9-23B48CED6FF1}"/>
    <cellStyle name="Output 2 11" xfId="3871" xr:uid="{29FEB901-C2BB-494F-AAB8-B7FF55762C02}"/>
    <cellStyle name="Output 2 11 2" xfId="4339" xr:uid="{681C9A31-55EC-4F1F-9FA2-472E9D6005B5}"/>
    <cellStyle name="Output 2 11 2 2" xfId="4822" xr:uid="{5920C9A1-07F9-4ED1-9D8E-B9DF7E5746CA}"/>
    <cellStyle name="Output 2 11 3" xfId="4458" xr:uid="{C01CBA1B-18A6-4415-B929-72C66C27BF0D}"/>
    <cellStyle name="Output 2 12" xfId="3872" xr:uid="{BD9A0517-E8B0-485B-AAD8-C5AD5EC71218}"/>
    <cellStyle name="Output 2 12 2" xfId="4340" xr:uid="{85B53AD1-7C4B-43E5-B770-9DE25A96EC59}"/>
    <cellStyle name="Output 2 12 2 2" xfId="4823" xr:uid="{DED454A0-38E7-4B94-8CAF-57D61392AB8C}"/>
    <cellStyle name="Output 2 12 3" xfId="4459" xr:uid="{9E3BC253-8C3C-449A-9184-6087644DE547}"/>
    <cellStyle name="Output 2 13" xfId="4119" xr:uid="{32E61B30-AF5E-4C65-8F95-8AB90245C04A}"/>
    <cellStyle name="Output 2 2" xfId="2027" xr:uid="{4814BC70-C379-4379-994F-25E89A9C91FA}"/>
    <cellStyle name="Output 2 2 2" xfId="4120" xr:uid="{C9110AE7-5B56-4C40-B121-50FBA2E41E24}"/>
    <cellStyle name="Output 2 3" xfId="2028" xr:uid="{BED5F26D-8C9A-4D59-8844-5C3ABA63226C}"/>
    <cellStyle name="Output 2 3 2" xfId="4121" xr:uid="{332D0CCD-9C8A-46EE-9A44-98E73DBB6713}"/>
    <cellStyle name="Output 2 4" xfId="2029" xr:uid="{79B52241-D7A0-48A5-B910-4414621389F2}"/>
    <cellStyle name="Output 2 4 2" xfId="4122" xr:uid="{F4031966-2479-41D7-A5BB-9DA640569E30}"/>
    <cellStyle name="Output 2 5" xfId="2030" xr:uid="{3C7DB0B2-34D9-4A88-9D42-00A6D03007E1}"/>
    <cellStyle name="Output 2 5 2" xfId="4123" xr:uid="{929E69D1-C881-45D1-9449-1CF1B6A60481}"/>
    <cellStyle name="Output 2 6" xfId="2031" xr:uid="{AE1FADF4-9472-4D1F-84A8-AC8386F748F5}"/>
    <cellStyle name="Output 2 6 2" xfId="4124" xr:uid="{C82851C2-5EBD-4399-B75E-9B32FF76949B}"/>
    <cellStyle name="Output 2 7" xfId="2032" xr:uid="{34CB209E-260B-47F5-A8F4-23C013A17A07}"/>
    <cellStyle name="Output 2 7 2" xfId="4125" xr:uid="{89142069-9834-4734-9B07-73C47186DFFC}"/>
    <cellStyle name="Output 2 8" xfId="3873" xr:uid="{77E67A85-5D89-45E1-8E06-F539320BDD59}"/>
    <cellStyle name="Output 2 8 2" xfId="4341" xr:uid="{28119009-EA0B-4FF9-8D14-F74FAC741FFB}"/>
    <cellStyle name="Output 2 8 2 2" xfId="4824" xr:uid="{5CECAD2E-491A-408B-9FC2-7E50F28347ED}"/>
    <cellStyle name="Output 2 8 3" xfId="4460" xr:uid="{4B1E8FCB-B340-4962-9139-47431E18773F}"/>
    <cellStyle name="Output 2 9" xfId="3874" xr:uid="{307004B3-975D-4DF0-A11A-6C71445A7EC0}"/>
    <cellStyle name="Output 2 9 2" xfId="4342" xr:uid="{CF4EE834-8767-49CF-B2A6-ED2417024E6B}"/>
    <cellStyle name="Output 2 9 2 2" xfId="4825" xr:uid="{691BD29C-66CC-4144-8B25-15D4CBD2FDB0}"/>
    <cellStyle name="Output 2 9 3" xfId="4461" xr:uid="{ED296A7D-D5C4-4A94-AE32-C61A2D4A3600}"/>
    <cellStyle name="Output 2_Trimestral" xfId="3869" xr:uid="{6955D986-9BFA-45C5-8933-C1663D14DCE2}"/>
    <cellStyle name="Output 3" xfId="2033" xr:uid="{E9973DB2-E582-4F34-88A2-65563CF05276}"/>
    <cellStyle name="Output 3 10" xfId="3876" xr:uid="{B0ED7BDB-286F-4B5A-9052-0949D83563C1}"/>
    <cellStyle name="Output 3 10 2" xfId="4343" xr:uid="{EC534713-D9CE-40FC-A6D0-0AF30AA70FE5}"/>
    <cellStyle name="Output 3 10 2 2" xfId="4826" xr:uid="{A34B82F3-0C5E-4AAE-B5F4-9D2EDC7A4AD3}"/>
    <cellStyle name="Output 3 10 3" xfId="4462" xr:uid="{B6709FBA-BDCE-4E41-96FA-3D5E0EC35B4D}"/>
    <cellStyle name="Output 3 11" xfId="3877" xr:uid="{D710D2C1-33FC-4DFF-86E2-D92C37C1AD81}"/>
    <cellStyle name="Output 3 11 2" xfId="4344" xr:uid="{CB912AEA-EDC5-42D0-AB78-B1983025B95C}"/>
    <cellStyle name="Output 3 11 2 2" xfId="4827" xr:uid="{3B3F3339-BA4C-47E7-80B3-238A40B983DC}"/>
    <cellStyle name="Output 3 11 3" xfId="4463" xr:uid="{208C7345-20D3-429B-AE1D-5F4112423454}"/>
    <cellStyle name="Output 3 12" xfId="3878" xr:uid="{394AB2D4-3465-451F-A8FF-B7F0FF8854D4}"/>
    <cellStyle name="Output 3 12 2" xfId="4345" xr:uid="{70615A57-0D52-4C7C-96CF-A936F3D331B4}"/>
    <cellStyle name="Output 3 12 2 2" xfId="4828" xr:uid="{1920B954-0CEF-459F-828E-A597E83BA43A}"/>
    <cellStyle name="Output 3 12 3" xfId="4464" xr:uid="{F2EB51B6-7C9D-4EC6-B9DA-6F956F23185F}"/>
    <cellStyle name="Output 3 13" xfId="4126" xr:uid="{6DFB5CEE-40BB-44DF-8FF6-CC3B1E8048E9}"/>
    <cellStyle name="Output 3 2" xfId="2034" xr:uid="{37290E4C-005E-4F77-BF96-9B2565D67A29}"/>
    <cellStyle name="Output 3 2 2" xfId="4127" xr:uid="{A727E28E-A056-4844-BC76-23BE3D03471B}"/>
    <cellStyle name="Output 3 3" xfId="2035" xr:uid="{538C8E36-33E2-4BB4-822B-32A49164BA7D}"/>
    <cellStyle name="Output 3 3 2" xfId="4128" xr:uid="{60547CEE-0A01-4680-AF10-5F5A2929C371}"/>
    <cellStyle name="Output 3 4" xfId="2036" xr:uid="{F7FB13EC-80DC-4D56-8192-2419C5582EA3}"/>
    <cellStyle name="Output 3 4 2" xfId="4129" xr:uid="{70D7166B-51D0-47D0-BA14-5CEFF3B693B2}"/>
    <cellStyle name="Output 3 5" xfId="2037" xr:uid="{AA685ACA-5938-4927-85F6-3CC86FCF779C}"/>
    <cellStyle name="Output 3 5 2" xfId="4130" xr:uid="{B44B5313-14C5-4C13-AE2A-FB3495FB33D0}"/>
    <cellStyle name="Output 3 6" xfId="2038" xr:uid="{317A11B3-C2FF-4AEE-967A-BE036FA885EC}"/>
    <cellStyle name="Output 3 6 2" xfId="4131" xr:uid="{3F8CCDF3-879E-45F8-8BE7-7770F48FF4C3}"/>
    <cellStyle name="Output 3 7" xfId="2039" xr:uid="{415E65DF-1CA2-4E70-9F02-5856F3E048B3}"/>
    <cellStyle name="Output 3 7 2" xfId="4132" xr:uid="{7913AA84-6820-4BA6-960D-47F6E39A2B3E}"/>
    <cellStyle name="Output 3 8" xfId="3879" xr:uid="{8419A27E-ACA3-453D-AF11-40E72C2A8DC9}"/>
    <cellStyle name="Output 3 8 2" xfId="4346" xr:uid="{0E839BF4-1013-420C-9019-133455556BD7}"/>
    <cellStyle name="Output 3 8 2 2" xfId="4829" xr:uid="{E78D4639-04E8-465A-956D-C931CAE30BC4}"/>
    <cellStyle name="Output 3 8 3" xfId="4465" xr:uid="{324CD1DE-8C4D-4896-9C4C-69EDFB28AD9E}"/>
    <cellStyle name="Output 3 9" xfId="3880" xr:uid="{8AD5E410-7940-4513-A3E0-1CE578EF1B44}"/>
    <cellStyle name="Output 3 9 2" xfId="4347" xr:uid="{171FD8F6-2083-4491-BEE7-A8D1C9DA8B98}"/>
    <cellStyle name="Output 3 9 2 2" xfId="4830" xr:uid="{7B4D011F-DEDC-45EF-8550-AE86481696E6}"/>
    <cellStyle name="Output 3 9 3" xfId="4466" xr:uid="{5B17A637-EFCE-4ABF-9998-C6A869ABC735}"/>
    <cellStyle name="Output 3_Trimestral" xfId="3875" xr:uid="{C8C4475A-8718-4270-ABEA-1A0FC9CE147A}"/>
    <cellStyle name="Output 4" xfId="2040" xr:uid="{54602C3A-F19B-4C7A-8DA8-D0117643CCC2}"/>
    <cellStyle name="Output 4 10" xfId="3882" xr:uid="{0D2FF683-BCFB-4E7D-B194-8FC195682802}"/>
    <cellStyle name="Output 4 10 2" xfId="4348" xr:uid="{ADB0510E-2CC9-4FA1-98AC-8C9B6C8F83D9}"/>
    <cellStyle name="Output 4 10 2 2" xfId="4831" xr:uid="{EF1F01D0-CDE1-4E81-B8AA-9D138B23FA7A}"/>
    <cellStyle name="Output 4 10 3" xfId="4467" xr:uid="{2FCD30E9-0941-4047-918D-49B37045DFBE}"/>
    <cellStyle name="Output 4 11" xfId="3883" xr:uid="{3C4EFD5E-79AD-4F6E-B753-8702D07ADB37}"/>
    <cellStyle name="Output 4 11 2" xfId="4349" xr:uid="{F6B790FD-7A75-47FB-9021-CE1F2A2162A0}"/>
    <cellStyle name="Output 4 11 2 2" xfId="4832" xr:uid="{ABBC8F19-36FA-4292-B7E6-DD58014E0E65}"/>
    <cellStyle name="Output 4 11 3" xfId="4468" xr:uid="{DFAD6F3B-022E-4043-9E9F-7122CC3A0845}"/>
    <cellStyle name="Output 4 12" xfId="3884" xr:uid="{D01B44BA-5C6E-40C1-AC03-000D839C4C61}"/>
    <cellStyle name="Output 4 12 2" xfId="4350" xr:uid="{06BCABBF-51BB-4390-B214-9988893D5D23}"/>
    <cellStyle name="Output 4 12 2 2" xfId="4833" xr:uid="{BC600565-CD4D-4A43-BD7C-1EA87E5F945D}"/>
    <cellStyle name="Output 4 12 3" xfId="4469" xr:uid="{6C9FADF7-C99E-4446-B81E-42CD3C75967F}"/>
    <cellStyle name="Output 4 13" xfId="4133" xr:uid="{782CB99B-725C-4CD7-B398-E03F45815707}"/>
    <cellStyle name="Output 4 2" xfId="2041" xr:uid="{3D068B39-9C4C-43B8-9354-009F8FA06E26}"/>
    <cellStyle name="Output 4 2 2" xfId="4134" xr:uid="{AA1ED0B8-BE06-4E0D-8A95-94D2A132C80C}"/>
    <cellStyle name="Output 4 3" xfId="2042" xr:uid="{4F5E65FF-7D23-4BBD-9CD3-85FDC240114B}"/>
    <cellStyle name="Output 4 3 2" xfId="4135" xr:uid="{F3B56D6F-41C6-482F-89E3-9FFCB7DE40C6}"/>
    <cellStyle name="Output 4 4" xfId="2043" xr:uid="{DEF48FC2-13C8-4022-9692-25F970D869AA}"/>
    <cellStyle name="Output 4 4 2" xfId="4136" xr:uid="{C72EB15F-380E-40BB-BE00-A6C8166C83EF}"/>
    <cellStyle name="Output 4 5" xfId="2044" xr:uid="{B250527C-92B5-43A6-9A7A-6E0EB11E12A9}"/>
    <cellStyle name="Output 4 5 2" xfId="4137" xr:uid="{593F4A99-AC29-4697-8AA8-E44FECEB9098}"/>
    <cellStyle name="Output 4 6" xfId="2045" xr:uid="{50E7A2E9-4049-4E98-A162-B86DB3DC2A8C}"/>
    <cellStyle name="Output 4 6 2" xfId="4138" xr:uid="{D98685CE-0BFE-4517-A4E6-38E49BDEA060}"/>
    <cellStyle name="Output 4 7" xfId="2046" xr:uid="{DFA753BE-CF70-490D-9F7F-2EF4BD418EDB}"/>
    <cellStyle name="Output 4 7 2" xfId="4139" xr:uid="{92CEF999-033C-49A3-847F-FA11306D2325}"/>
    <cellStyle name="Output 4 8" xfId="3885" xr:uid="{09106726-367C-4F91-867A-CF0A137F941D}"/>
    <cellStyle name="Output 4 8 2" xfId="4351" xr:uid="{DF4BDAFB-BD94-402A-8168-038157C31B59}"/>
    <cellStyle name="Output 4 8 2 2" xfId="4834" xr:uid="{A9D7EA52-7387-4B56-8EEE-0C038890769F}"/>
    <cellStyle name="Output 4 8 3" xfId="4470" xr:uid="{F8CDC696-1C2B-4E9A-9282-C3DDF2682D77}"/>
    <cellStyle name="Output 4 9" xfId="3886" xr:uid="{B7D1766D-B1FA-4C1E-A6EF-F86745875A95}"/>
    <cellStyle name="Output 4 9 2" xfId="4352" xr:uid="{11F6592F-C9A9-4A1E-96FE-7E2D79657B10}"/>
    <cellStyle name="Output 4 9 2 2" xfId="4835" xr:uid="{98A4E306-27F8-4730-A1E1-8320279FE11E}"/>
    <cellStyle name="Output 4 9 3" xfId="4471" xr:uid="{4C22BAEC-FF9A-4E09-B764-918F1A148BA8}"/>
    <cellStyle name="Output 4_Trimestral" xfId="3881" xr:uid="{86B1D1C6-CCB2-44A6-919D-190CC233A4CA}"/>
    <cellStyle name="Output 5" xfId="2047" xr:uid="{CEF7F526-9712-4EE1-930F-01CDB94CC5C9}"/>
    <cellStyle name="Output 5 10" xfId="3888" xr:uid="{998BB202-456F-4287-BEC9-1FFD59F11028}"/>
    <cellStyle name="Output 5 10 2" xfId="4353" xr:uid="{7795B078-395B-4B50-A74C-21E571515850}"/>
    <cellStyle name="Output 5 10 2 2" xfId="4836" xr:uid="{8CD2D57B-7344-4D6C-B8B4-54494736F27D}"/>
    <cellStyle name="Output 5 10 3" xfId="4472" xr:uid="{D7C4F50C-A241-44C8-9731-907DFD28A179}"/>
    <cellStyle name="Output 5 11" xfId="3889" xr:uid="{DA1EC5A6-CA9C-4DA0-BF54-D747AB908FA3}"/>
    <cellStyle name="Output 5 11 2" xfId="4354" xr:uid="{20B84E80-EAAF-446F-A960-E05160FEFD20}"/>
    <cellStyle name="Output 5 11 2 2" xfId="4837" xr:uid="{A8B0C52A-56C1-4612-98E1-FF7C566E0BB6}"/>
    <cellStyle name="Output 5 11 3" xfId="4473" xr:uid="{BE3F35C7-76AE-48D3-8DB6-A23DCA5527D1}"/>
    <cellStyle name="Output 5 12" xfId="3890" xr:uid="{2F8889FF-578B-4D17-8D30-6202DDF5D742}"/>
    <cellStyle name="Output 5 12 2" xfId="4355" xr:uid="{9709C732-0117-49EC-84C2-B86EF5871B42}"/>
    <cellStyle name="Output 5 12 2 2" xfId="4838" xr:uid="{6C23205F-ED93-4D4E-AD4F-64C4F416EDAD}"/>
    <cellStyle name="Output 5 12 3" xfId="4474" xr:uid="{6705813D-4AC1-4ABB-A2B6-4DE3983F178D}"/>
    <cellStyle name="Output 5 13" xfId="4140" xr:uid="{3F821E02-54F4-4A2B-8CD8-E0F5B32B21A8}"/>
    <cellStyle name="Output 5 2" xfId="2048" xr:uid="{FA71D554-843A-4015-B5E9-6F38074A6B42}"/>
    <cellStyle name="Output 5 2 2" xfId="4141" xr:uid="{8CA572B1-ADEB-4C8F-80FD-40E2FD6C3560}"/>
    <cellStyle name="Output 5 3" xfId="2049" xr:uid="{DB0780D9-2D25-4265-AA01-980060A1BE14}"/>
    <cellStyle name="Output 5 3 2" xfId="4142" xr:uid="{8D8D4D16-C384-4E7D-B4E5-71968C392BB6}"/>
    <cellStyle name="Output 5 4" xfId="2050" xr:uid="{F8EF4731-6D61-489E-8729-414BFD5331BB}"/>
    <cellStyle name="Output 5 4 2" xfId="4143" xr:uid="{02B1CF49-AF1F-494E-B532-22B783F2A007}"/>
    <cellStyle name="Output 5 5" xfId="2051" xr:uid="{D8FE2DBF-68CF-4597-86FD-5CE5829F61C0}"/>
    <cellStyle name="Output 5 5 2" xfId="4144" xr:uid="{74498431-7D4F-4FB1-8735-FD713A21541D}"/>
    <cellStyle name="Output 5 6" xfId="2052" xr:uid="{CC82B814-4198-475A-B4AD-2FAE8F051FFC}"/>
    <cellStyle name="Output 5 6 2" xfId="4145" xr:uid="{DCAD9249-87C3-48BC-AA6D-E638B6D36E43}"/>
    <cellStyle name="Output 5 7" xfId="2053" xr:uid="{3C5536EF-1AEE-42A4-9CD4-4DB527F005F2}"/>
    <cellStyle name="Output 5 7 2" xfId="4146" xr:uid="{D3C5A0B1-28D6-463C-8B8A-7EAA422C71CD}"/>
    <cellStyle name="Output 5 8" xfId="3891" xr:uid="{6BA1C5EB-AE0E-4719-86DE-E05747AA10C2}"/>
    <cellStyle name="Output 5 8 2" xfId="4356" xr:uid="{80E92484-12EA-4545-BF0F-AF38348C89FD}"/>
    <cellStyle name="Output 5 8 2 2" xfId="4839" xr:uid="{5455EBA5-6AAD-46CA-9A2B-A365C981FDC8}"/>
    <cellStyle name="Output 5 8 3" xfId="4475" xr:uid="{AFD6646C-B5FB-479B-9088-2A7F3246B460}"/>
    <cellStyle name="Output 5 9" xfId="3892" xr:uid="{0F28DE24-0151-4AED-BAD3-31B133CCB120}"/>
    <cellStyle name="Output 5 9 2" xfId="4357" xr:uid="{925B43B0-3A98-4EA5-9BED-1DC9A8B99A60}"/>
    <cellStyle name="Output 5 9 2 2" xfId="4840" xr:uid="{64F6A1F6-4F2E-43CC-BED4-B2F084A2FC86}"/>
    <cellStyle name="Output 5 9 3" xfId="4476" xr:uid="{2AD0A4A4-09B6-4E0F-8CA6-AAF1F2C33FD3}"/>
    <cellStyle name="Output 5_Trimestral" xfId="3887" xr:uid="{DE10EE52-74C9-42D2-B49E-18257F564303}"/>
    <cellStyle name="Output 6" xfId="2054" xr:uid="{33C88A48-5CF1-40BD-A62D-2137E882F9A3}"/>
    <cellStyle name="Output 6 10" xfId="3894" xr:uid="{2070F35D-F548-4A5B-B289-6CBB7AF8ED2A}"/>
    <cellStyle name="Output 6 10 2" xfId="4358" xr:uid="{BA1DA90E-13B2-4BB2-9566-B501AFB42D1B}"/>
    <cellStyle name="Output 6 10 2 2" xfId="4841" xr:uid="{612CC62C-6396-4505-89F4-7B6F5E3CC558}"/>
    <cellStyle name="Output 6 10 3" xfId="4477" xr:uid="{DA07AEC5-DAA7-4B6C-829E-D1D6AE1F1820}"/>
    <cellStyle name="Output 6 11" xfId="3895" xr:uid="{A00A09A0-21D2-4D45-B8B1-7C35983413B4}"/>
    <cellStyle name="Output 6 11 2" xfId="4359" xr:uid="{B49BDC9A-A491-45BE-964D-45F7D18A0464}"/>
    <cellStyle name="Output 6 11 2 2" xfId="4842" xr:uid="{5BCE3C31-FF34-4A29-BBA5-7C6001918618}"/>
    <cellStyle name="Output 6 11 3" xfId="4478" xr:uid="{78672528-35BF-4DC7-9068-E9D76470B660}"/>
    <cellStyle name="Output 6 12" xfId="3896" xr:uid="{17B047B2-241E-4E59-A897-6E4C7D54F070}"/>
    <cellStyle name="Output 6 12 2" xfId="4360" xr:uid="{2D1900C3-C226-4DCD-ABAA-90D262F3FF89}"/>
    <cellStyle name="Output 6 12 2 2" xfId="4843" xr:uid="{30017741-1E1B-4F0B-9A0A-8300DCE3CF4A}"/>
    <cellStyle name="Output 6 12 3" xfId="4479" xr:uid="{07EA78F6-93E6-4316-BFC6-479D0B8BCE6A}"/>
    <cellStyle name="Output 6 13" xfId="4147" xr:uid="{05A48346-E605-45A1-BF97-00C557D7ED9F}"/>
    <cellStyle name="Output 6 2" xfId="2055" xr:uid="{3F4CD35F-5A4C-481F-8B3E-C81633844E0F}"/>
    <cellStyle name="Output 6 2 2" xfId="4148" xr:uid="{0C4DFA76-2E7E-43D1-973C-6A6D1A4DA719}"/>
    <cellStyle name="Output 6 3" xfId="2056" xr:uid="{A850F012-447F-463D-A0E7-9756EBB5BAA0}"/>
    <cellStyle name="Output 6 3 2" xfId="4149" xr:uid="{7E607B0F-5053-4AA3-B952-62FEE9380F3F}"/>
    <cellStyle name="Output 6 4" xfId="2057" xr:uid="{6866E589-0B29-4EE3-A366-069E3CE4A5AA}"/>
    <cellStyle name="Output 6 4 2" xfId="4150" xr:uid="{F57C9B6C-6D47-4153-A36C-C9D0285661C8}"/>
    <cellStyle name="Output 6 5" xfId="2058" xr:uid="{356B0982-4112-4F26-B6DD-96610D7F5AB4}"/>
    <cellStyle name="Output 6 5 2" xfId="4151" xr:uid="{B9D0C590-B373-45A9-87B9-324A1F5098D2}"/>
    <cellStyle name="Output 6 6" xfId="2059" xr:uid="{CDCD02E4-BC5A-420D-9F83-E3FB28B61E98}"/>
    <cellStyle name="Output 6 6 2" xfId="4152" xr:uid="{2DF05F98-ED50-445C-BB0E-6E47D8609CD7}"/>
    <cellStyle name="Output 6 7" xfId="2060" xr:uid="{11300BA7-42FA-4A8D-95FC-A51488A206B8}"/>
    <cellStyle name="Output 6 7 2" xfId="4153" xr:uid="{E90ABC53-BE33-4F4D-B5E5-0F7D7C79E4C3}"/>
    <cellStyle name="Output 6 8" xfId="3897" xr:uid="{22B90257-21A8-4151-9670-68C6A0CDC0A5}"/>
    <cellStyle name="Output 6 8 2" xfId="4361" xr:uid="{5DDDBC60-5DFE-422F-A593-4151C9889810}"/>
    <cellStyle name="Output 6 8 2 2" xfId="4844" xr:uid="{2287120B-4E50-48C7-BFCA-43646383B84E}"/>
    <cellStyle name="Output 6 8 3" xfId="4480" xr:uid="{75DA52EB-DD8D-4409-830C-66B2F7E6B155}"/>
    <cellStyle name="Output 6 9" xfId="3898" xr:uid="{C5F2808F-188F-4FB0-BFA1-136E1E1652D7}"/>
    <cellStyle name="Output 6 9 2" xfId="4362" xr:uid="{ED53BF91-65DC-4224-97BF-342E3D7C9339}"/>
    <cellStyle name="Output 6 9 2 2" xfId="4845" xr:uid="{DAF0EF00-68BF-4BB1-8C56-74B36EBA5C95}"/>
    <cellStyle name="Output 6 9 3" xfId="4481" xr:uid="{80AF8144-0F65-486A-AB52-FBBD5B4588C8}"/>
    <cellStyle name="Output 6_Trimestral" xfId="3893" xr:uid="{A6C2C143-28B1-4619-BB5A-B90637375E76}"/>
    <cellStyle name="Output 7" xfId="2061" xr:uid="{25FDD14D-CBA8-44B7-B396-10C3DE6A69E2}"/>
    <cellStyle name="Output 7 10" xfId="3900" xr:uid="{0636EAEB-3B8B-47B2-85E5-83CF7510B676}"/>
    <cellStyle name="Output 7 10 2" xfId="4363" xr:uid="{C649A1BF-972D-47A2-8C15-DEA8D919D323}"/>
    <cellStyle name="Output 7 10 2 2" xfId="4846" xr:uid="{9F1A16E0-9AA3-4EC1-94F1-FCF807BC3434}"/>
    <cellStyle name="Output 7 10 3" xfId="4482" xr:uid="{698A2EFC-184B-4EDA-85A9-E600511D3121}"/>
    <cellStyle name="Output 7 11" xfId="3901" xr:uid="{63948CDE-ED94-4F06-A988-B6EB997E374F}"/>
    <cellStyle name="Output 7 11 2" xfId="4364" xr:uid="{AE23831B-11FC-481F-8612-CB8DE7EC403E}"/>
    <cellStyle name="Output 7 11 2 2" xfId="4847" xr:uid="{83FA279F-8883-43CC-8050-77573FFCD1B8}"/>
    <cellStyle name="Output 7 11 3" xfId="4483" xr:uid="{A88F2232-241F-4558-91F5-297732B0C6BA}"/>
    <cellStyle name="Output 7 12" xfId="3902" xr:uid="{0E6248CA-7240-4818-89B4-D99444D5B01A}"/>
    <cellStyle name="Output 7 12 2" xfId="4365" xr:uid="{23B7654A-5827-431B-A924-35B6B5B768F3}"/>
    <cellStyle name="Output 7 12 2 2" xfId="4848" xr:uid="{A7899A38-A5B2-4B9C-83ED-9ED74A63D26F}"/>
    <cellStyle name="Output 7 12 3" xfId="4484" xr:uid="{13DDAF37-6FCD-4D22-99EA-518C9EF31F56}"/>
    <cellStyle name="Output 7 13" xfId="4154" xr:uid="{CFCB9998-0F1B-4C69-B098-C0E23DCED3EB}"/>
    <cellStyle name="Output 7 2" xfId="2062" xr:uid="{53BE78D3-EA6D-4A16-B527-E7BC0B6FB7EE}"/>
    <cellStyle name="Output 7 2 2" xfId="4155" xr:uid="{9FD7E783-32D5-4D20-894D-D57D5AF12CCD}"/>
    <cellStyle name="Output 7 3" xfId="2063" xr:uid="{F571E2F9-EC77-43E8-B542-9DBA15EF0465}"/>
    <cellStyle name="Output 7 3 2" xfId="4156" xr:uid="{4BA5B8B8-FCA2-4EAF-815A-1ACFD519D19C}"/>
    <cellStyle name="Output 7 4" xfId="2064" xr:uid="{FDFC6C43-7FA0-4885-98F0-2A9CDA49D9D3}"/>
    <cellStyle name="Output 7 4 2" xfId="4157" xr:uid="{67014351-0657-4DE0-9B15-1D18E1D40B49}"/>
    <cellStyle name="Output 7 5" xfId="2065" xr:uid="{02206F52-3290-4988-A1CC-E0B1EAF63A37}"/>
    <cellStyle name="Output 7 5 2" xfId="4158" xr:uid="{5189ACD7-1ACC-42EE-94DB-2EBB99BBCD44}"/>
    <cellStyle name="Output 7 6" xfId="2066" xr:uid="{147D6822-9B42-4745-90FE-90D4D981F33C}"/>
    <cellStyle name="Output 7 6 2" xfId="4159" xr:uid="{BC1052D7-FE97-40FC-B663-389FADABBFBB}"/>
    <cellStyle name="Output 7 7" xfId="2067" xr:uid="{A23AE79F-E0BA-47CD-8E35-5E51E29DEF3C}"/>
    <cellStyle name="Output 7 7 2" xfId="4160" xr:uid="{1A1650A4-915C-4148-BFC8-7F30DB59B3E1}"/>
    <cellStyle name="Output 7 8" xfId="3903" xr:uid="{0B8B48F3-1E5D-4204-B93D-37561827BA72}"/>
    <cellStyle name="Output 7 8 2" xfId="4366" xr:uid="{B235EBDD-D0A4-4E09-8E9C-8316C0610A0E}"/>
    <cellStyle name="Output 7 8 2 2" xfId="4849" xr:uid="{C8813329-5179-4110-A4A4-E1749BE5BC49}"/>
    <cellStyle name="Output 7 8 3" xfId="4485" xr:uid="{0C9BE795-1800-4363-9470-DE39FB0D908B}"/>
    <cellStyle name="Output 7 9" xfId="3904" xr:uid="{141C8F80-A006-46BC-A79E-EB9E6B0053F0}"/>
    <cellStyle name="Output 7 9 2" xfId="4367" xr:uid="{758956BA-EF64-4614-AED6-4F7696D3E716}"/>
    <cellStyle name="Output 7 9 2 2" xfId="4850" xr:uid="{87B63CF7-DCFB-4453-AC47-4B131F3F3CF6}"/>
    <cellStyle name="Output 7 9 3" xfId="4486" xr:uid="{CEF9AD9F-3B30-4044-B01D-07444C91B5D5}"/>
    <cellStyle name="Output 7_Trimestral" xfId="3899" xr:uid="{57465A15-784C-476E-B90A-C84C49EA0392}"/>
    <cellStyle name="Output 8" xfId="2068" xr:uid="{315CC4EB-EAC6-4F28-9EAA-D896E512750D}"/>
    <cellStyle name="Output 8 10" xfId="3906" xr:uid="{115D8519-E343-44C1-A239-8D761B5892E8}"/>
    <cellStyle name="Output 8 10 2" xfId="4368" xr:uid="{213B21A4-798D-4807-B49C-0B3C02CC54F9}"/>
    <cellStyle name="Output 8 10 2 2" xfId="4851" xr:uid="{0E10D2CF-3AC3-4CF3-A054-6B2942C9F397}"/>
    <cellStyle name="Output 8 10 3" xfId="4487" xr:uid="{7CEBE090-C56E-4F0D-96DA-ACC3530A8841}"/>
    <cellStyle name="Output 8 11" xfId="3907" xr:uid="{6BBA4B39-1219-4870-927D-D81EF6BDC155}"/>
    <cellStyle name="Output 8 11 2" xfId="4369" xr:uid="{CAE34DCE-C25C-42DF-B726-EFBAA10BA5DF}"/>
    <cellStyle name="Output 8 11 2 2" xfId="4852" xr:uid="{3E5FAF72-4482-4CE6-8A2E-5C3C0995E1D1}"/>
    <cellStyle name="Output 8 11 3" xfId="4488" xr:uid="{8FE2CA4C-BCAE-418E-B2A4-A7D9834199DA}"/>
    <cellStyle name="Output 8 12" xfId="3908" xr:uid="{1C1C1F0F-BF34-4814-8BCC-D6E5D6B93CAC}"/>
    <cellStyle name="Output 8 12 2" xfId="4370" xr:uid="{8DFF7019-9D02-4432-8B62-56DEA876BBFA}"/>
    <cellStyle name="Output 8 12 2 2" xfId="4853" xr:uid="{5067606A-BB34-4D5B-BBCA-FBFD4252CA42}"/>
    <cellStyle name="Output 8 12 3" xfId="4489" xr:uid="{DDB96F1A-61AB-45C5-BEF2-C1345AD5E80C}"/>
    <cellStyle name="Output 8 13" xfId="4161" xr:uid="{898D6366-BF51-4169-BDA5-DFA08495CAB9}"/>
    <cellStyle name="Output 8 2" xfId="2069" xr:uid="{FF583FB5-8EFD-4264-BB2C-D74D2B3A3017}"/>
    <cellStyle name="Output 8 2 2" xfId="4162" xr:uid="{A4E8748A-DC49-45CE-9A7E-A9E5DDCF55F8}"/>
    <cellStyle name="Output 8 3" xfId="2070" xr:uid="{B67BFA0D-E5DE-4C73-B82F-664BEE785DB1}"/>
    <cellStyle name="Output 8 3 2" xfId="4163" xr:uid="{A13154A0-E1DD-4B6E-B9FD-5C82134D2090}"/>
    <cellStyle name="Output 8 4" xfId="2071" xr:uid="{4D64FBBB-42F2-463B-9597-2372DC4E78A9}"/>
    <cellStyle name="Output 8 4 2" xfId="4164" xr:uid="{5AE684A8-81C2-4584-B31D-21E36656880D}"/>
    <cellStyle name="Output 8 5" xfId="2072" xr:uid="{08BFECA6-C8B1-4799-B5CB-717346A1FD0E}"/>
    <cellStyle name="Output 8 5 2" xfId="4165" xr:uid="{48A2D14C-2952-46CB-A419-535C06BA5DAB}"/>
    <cellStyle name="Output 8 6" xfId="2073" xr:uid="{F7606332-4B98-47C2-9B78-8C59961816F7}"/>
    <cellStyle name="Output 8 6 2" xfId="4166" xr:uid="{A49E68B9-6C84-4E3D-9835-B1B25A8E9A1E}"/>
    <cellStyle name="Output 8 7" xfId="2074" xr:uid="{9A2E98AB-F97F-4589-AE3F-963E4D67F1ED}"/>
    <cellStyle name="Output 8 7 2" xfId="4167" xr:uid="{DD009604-86AA-4B7D-9708-0F7EADCE42DD}"/>
    <cellStyle name="Output 8 8" xfId="3909" xr:uid="{B488FEC0-66ED-4CC2-ACC9-878D672FF8A2}"/>
    <cellStyle name="Output 8 8 2" xfId="4371" xr:uid="{9DBA0148-8915-425C-B8D4-658CFB48CD39}"/>
    <cellStyle name="Output 8 8 2 2" xfId="4854" xr:uid="{F92388EE-3AC2-48CE-A488-F67FD2094D3F}"/>
    <cellStyle name="Output 8 8 3" xfId="4490" xr:uid="{C02DFA88-88A6-4CA5-B0AE-5A8F1E99360C}"/>
    <cellStyle name="Output 8 9" xfId="3910" xr:uid="{7CC4AE26-B7B3-4454-BC15-54BB29890477}"/>
    <cellStyle name="Output 8 9 2" xfId="4372" xr:uid="{B974C34F-4BAE-4462-B7E1-43298E347096}"/>
    <cellStyle name="Output 8 9 2 2" xfId="4855" xr:uid="{9A68D8D4-AF5D-4BFA-A2B2-0869F7A63725}"/>
    <cellStyle name="Output 8 9 3" xfId="4491" xr:uid="{B3205A02-C361-4741-8781-6753F16E19F9}"/>
    <cellStyle name="Output 8_Trimestral" xfId="3905" xr:uid="{FE604CCB-FC21-4373-B01E-4A2C65BBE2A5}"/>
    <cellStyle name="Output 9" xfId="3911" xr:uid="{B141CF5C-AB63-4877-BEE6-BD9891C55175}"/>
    <cellStyle name="Output 9 2" xfId="4373" xr:uid="{653CA98C-4397-434A-A766-55F4DD4F4436}"/>
    <cellStyle name="Output 9 2 2" xfId="4856" xr:uid="{262152FC-534A-44EE-8B08-02DF42E1B288}"/>
    <cellStyle name="Output 9 3" xfId="4492" xr:uid="{63FB7D0A-B6C5-4C41-A8E3-B89EB3273D89}"/>
    <cellStyle name="Percent" xfId="4894" builtinId="5"/>
    <cellStyle name="Percent 10" xfId="3912" xr:uid="{A846B569-DC54-40E8-93CB-6D1FBE44CEBB}"/>
    <cellStyle name="Percent 11" xfId="3913" xr:uid="{1AFF4163-1CDC-4910-8DEF-281A97BBA636}"/>
    <cellStyle name="Percent 12" xfId="3914" xr:uid="{8388401F-19B6-429C-8DEF-B2092246B4AA}"/>
    <cellStyle name="Percent 13" xfId="3915" xr:uid="{6A817D6C-EBEF-4B86-AA2F-FC2D56187AFD}"/>
    <cellStyle name="Percent 14" xfId="3916" xr:uid="{B80A5222-B7D7-499D-9A72-E7478D8EFD29}"/>
    <cellStyle name="Percent 15" xfId="3917" xr:uid="{44399DBA-5BAD-4079-85EC-488646B232D1}"/>
    <cellStyle name="Percent 16" xfId="3918" xr:uid="{82B6AC47-B6B5-4ABC-BCAE-F0BAA8238669}"/>
    <cellStyle name="Percent 17" xfId="3919" xr:uid="{E11D8E07-6A12-43AF-8F10-38C157001A24}"/>
    <cellStyle name="Percent 18" xfId="3920" xr:uid="{E82E7609-26F1-4915-9D73-6B3B4AD4973D}"/>
    <cellStyle name="Percent 19" xfId="3921" xr:uid="{873F14E3-AE09-4D4F-BC27-44A766A72472}"/>
    <cellStyle name="Percent 2" xfId="16" xr:uid="{71D02079-CB90-4241-8E66-A879244FD86C}"/>
    <cellStyle name="Percent 2 10" xfId="2075" xr:uid="{44107E6D-B249-4C0B-BCD0-266A209BFBBF}"/>
    <cellStyle name="Percent 2 10 10" xfId="3922" xr:uid="{D83DD6DB-4C3F-4247-BF2A-C01CA8A328F0}"/>
    <cellStyle name="Percent 2 10 11" xfId="3923" xr:uid="{13893658-EB84-4651-8888-B13B757C5B16}"/>
    <cellStyle name="Percent 2 10 12" xfId="3924" xr:uid="{62CA96C7-BD1C-4A89-9D75-A705365FD324}"/>
    <cellStyle name="Percent 2 10 2" xfId="2076" xr:uid="{0DFD4A63-BB44-4D54-A9F7-639954824173}"/>
    <cellStyle name="Percent 2 10 3" xfId="2077" xr:uid="{82E41C68-9DE5-48A0-B5DA-2D88E51DD34E}"/>
    <cellStyle name="Percent 2 10 4" xfId="2078" xr:uid="{1CDDC7CE-8308-4D52-AC53-4790C1186298}"/>
    <cellStyle name="Percent 2 10 5" xfId="2079" xr:uid="{B31DDFF0-8655-4876-BE57-D74B73123AE0}"/>
    <cellStyle name="Percent 2 10 6" xfId="2080" xr:uid="{0496D54A-459F-45A6-A15F-D9EF72B22DCE}"/>
    <cellStyle name="Percent 2 10 7" xfId="2081" xr:uid="{161FB548-8B84-4680-8EF1-A24D7843BADD}"/>
    <cellStyle name="Percent 2 10 8" xfId="3925" xr:uid="{FC532914-96A3-40CD-A7F9-3E772ABF1C0E}"/>
    <cellStyle name="Percent 2 10 9" xfId="3926" xr:uid="{854497AB-7A75-4352-8FA6-2367798A4238}"/>
    <cellStyle name="Percent 2 11" xfId="2082" xr:uid="{663A503D-1B16-48BD-94F3-DAE33F910B91}"/>
    <cellStyle name="Percent 2 12" xfId="2083" xr:uid="{D9BFA728-E4AC-48A2-8563-263EA55AD6E4}"/>
    <cellStyle name="Percent 2 13" xfId="2084" xr:uid="{DCB96639-F689-4564-9FBC-EA69999D1835}"/>
    <cellStyle name="Percent 2 14" xfId="2085" xr:uid="{CB7EF390-07C1-47CC-A8C3-9C52B93D90E0}"/>
    <cellStyle name="Percent 2 15" xfId="2086" xr:uid="{1B55ECD4-D73F-4E9A-A5C7-E87E579EAD80}"/>
    <cellStyle name="Percent 2 16" xfId="2087" xr:uid="{524BBC32-E9F5-44F1-BBF2-6B40DB8340BC}"/>
    <cellStyle name="Percent 2 17" xfId="2088" xr:uid="{D16619A1-43A1-433B-A1C2-0F7EF9879CC2}"/>
    <cellStyle name="Percent 2 18" xfId="2089" xr:uid="{2EDA4676-9B16-450A-B731-601C6356459E}"/>
    <cellStyle name="Percent 2 19" xfId="3927" xr:uid="{FEC2F2F8-BB90-45F2-BA31-BD04013E5105}"/>
    <cellStyle name="Percent 2 2" xfId="2090" xr:uid="{A95AEB6E-C927-458E-B5FA-F6E5735F9B58}"/>
    <cellStyle name="Percent 2 2 10" xfId="3928" xr:uid="{AB1BACBE-BF86-48CD-AEE6-9CF209ED6DE6}"/>
    <cellStyle name="Percent 2 2 11" xfId="3929" xr:uid="{06E9CCBF-BAF1-461E-8295-E0EA533F2A80}"/>
    <cellStyle name="Percent 2 2 12" xfId="3930" xr:uid="{200AAF48-4B71-4770-88E3-859507D67B62}"/>
    <cellStyle name="Percent 2 2 2" xfId="2091" xr:uid="{36387349-552E-4672-9A17-A6820029EE1B}"/>
    <cellStyle name="Percent 2 2 3" xfId="2092" xr:uid="{030847CC-ED23-4F57-94E4-CF23C6460725}"/>
    <cellStyle name="Percent 2 2 4" xfId="2093" xr:uid="{0E6F5C7C-E899-459C-B19B-C8DB9072DBCA}"/>
    <cellStyle name="Percent 2 2 5" xfId="2094" xr:uid="{78EF2FB5-DA5C-4BE8-B004-9716E05AB0F5}"/>
    <cellStyle name="Percent 2 2 6" xfId="2095" xr:uid="{0EBA0027-1A4B-4354-8156-F474B7485504}"/>
    <cellStyle name="Percent 2 2 7" xfId="2096" xr:uid="{FC9C82A1-1047-4B04-98A2-517F7FC7941A}"/>
    <cellStyle name="Percent 2 2 8" xfId="3931" xr:uid="{AE0431F4-3F2B-45D8-87FA-394F542D09C4}"/>
    <cellStyle name="Percent 2 2 9" xfId="3932" xr:uid="{7F7B6F59-34D6-4FEF-9F14-3FB6F641DF8E}"/>
    <cellStyle name="Percent 2 20" xfId="3933" xr:uid="{26F2BD71-D671-4EF2-8604-59AAEFA52547}"/>
    <cellStyle name="Percent 2 21" xfId="3934" xr:uid="{26C93E36-AE45-4803-B6D7-0903ACE484F2}"/>
    <cellStyle name="Percent 2 22" xfId="3935" xr:uid="{351A5DBE-3472-4256-92BD-04C1B5F62CF9}"/>
    <cellStyle name="Percent 2 23" xfId="3936" xr:uid="{190E23F6-F2F6-4990-A12F-73526ED5EE72}"/>
    <cellStyle name="Percent 2 24" xfId="43" xr:uid="{C49A7384-5129-4327-A2ED-53EDF42203F2}"/>
    <cellStyle name="Percent 2 3" xfId="2097" xr:uid="{4D08D669-6C07-4E53-9726-22ECECE17953}"/>
    <cellStyle name="Percent 2 3 10" xfId="3937" xr:uid="{A8E44380-C515-49BF-8CB6-EE54DBEFBB03}"/>
    <cellStyle name="Percent 2 3 11" xfId="3938" xr:uid="{3656335D-1C5E-4FA1-9078-FFF6ABB892F3}"/>
    <cellStyle name="Percent 2 3 12" xfId="3939" xr:uid="{B32D37C9-4205-4D56-985D-023CBAAAB03C}"/>
    <cellStyle name="Percent 2 3 2" xfId="2098" xr:uid="{2E6CBC32-6AB2-4072-9DB4-94DC60C69648}"/>
    <cellStyle name="Percent 2 3 3" xfId="2099" xr:uid="{D9340A9C-08CA-4D7F-BB4F-4257C20856CE}"/>
    <cellStyle name="Percent 2 3 4" xfId="2100" xr:uid="{CB4E9F3B-63D8-41CE-BF1C-F7D7E84185DF}"/>
    <cellStyle name="Percent 2 3 5" xfId="2101" xr:uid="{3D11CA85-BBC3-4F5C-BEE6-4FCD6AB9FC68}"/>
    <cellStyle name="Percent 2 3 6" xfId="2102" xr:uid="{C3B1391B-97D9-4B66-9D0F-20FBC064D60F}"/>
    <cellStyle name="Percent 2 3 7" xfId="2103" xr:uid="{6A7234BD-77C0-4E72-B155-B0C060695A2F}"/>
    <cellStyle name="Percent 2 3 8" xfId="3940" xr:uid="{40517E12-3A31-445F-A0DC-C406DAC6F683}"/>
    <cellStyle name="Percent 2 3 9" xfId="3941" xr:uid="{DCF15E91-8BB1-4A69-8EC0-1574AC2272BB}"/>
    <cellStyle name="Percent 2 4" xfId="2104" xr:uid="{28AFBC19-782D-481E-A1ED-194EE8589B9C}"/>
    <cellStyle name="Percent 2 4 10" xfId="3942" xr:uid="{A5F8B944-7DC4-4FCE-99B5-17EA49081308}"/>
    <cellStyle name="Percent 2 4 11" xfId="3943" xr:uid="{DA4C3EDE-3749-4A91-B765-7E9370BCF43B}"/>
    <cellStyle name="Percent 2 4 12" xfId="3944" xr:uid="{A4E74A3F-7B24-4CF8-95D6-08F4A8B106FB}"/>
    <cellStyle name="Percent 2 4 2" xfId="2105" xr:uid="{C7BFE7F4-DDB3-46D2-9E24-66FAB860635D}"/>
    <cellStyle name="Percent 2 4 3" xfId="2106" xr:uid="{FEAB0349-03B9-4EDE-BBE3-B63B497D65B2}"/>
    <cellStyle name="Percent 2 4 4" xfId="2107" xr:uid="{02ACAF23-D993-433A-90E9-2089BA7703EB}"/>
    <cellStyle name="Percent 2 4 5" xfId="2108" xr:uid="{D8777642-07BC-44FE-8FC8-3B6E2D84988A}"/>
    <cellStyle name="Percent 2 4 6" xfId="2109" xr:uid="{6857F7B3-8ABC-4949-A395-042256188162}"/>
    <cellStyle name="Percent 2 4 7" xfId="2110" xr:uid="{C3CE9685-8229-4260-ABC9-4AF60E764C42}"/>
    <cellStyle name="Percent 2 4 8" xfId="3945" xr:uid="{41FE6697-0A5F-4979-9506-01A63680EF99}"/>
    <cellStyle name="Percent 2 4 9" xfId="3946" xr:uid="{F9C38919-6744-4527-8116-EFDD6C9409C9}"/>
    <cellStyle name="Percent 2 5" xfId="2111" xr:uid="{0D48A086-ED83-4704-A91E-B51634E93B85}"/>
    <cellStyle name="Percent 2 5 10" xfId="3947" xr:uid="{A60C4FAC-683B-4F11-B990-C02B8C67F6F1}"/>
    <cellStyle name="Percent 2 5 11" xfId="3948" xr:uid="{48F299B5-064C-4AAC-8D65-348B0E3521EF}"/>
    <cellStyle name="Percent 2 5 12" xfId="3949" xr:uid="{EB1D1B0A-78FD-45CD-9EA2-CCF535871EB5}"/>
    <cellStyle name="Percent 2 5 2" xfId="2112" xr:uid="{DAAE18E7-74BB-4888-B899-4FB1E3BA39F8}"/>
    <cellStyle name="Percent 2 5 3" xfId="2113" xr:uid="{D5FC2C20-7B45-4EE2-BD30-A1B70BABD251}"/>
    <cellStyle name="Percent 2 5 4" xfId="2114" xr:uid="{D52F5558-8BB7-4B28-B671-57C0B97EBF61}"/>
    <cellStyle name="Percent 2 5 5" xfId="2115" xr:uid="{D8EE7540-CAF7-49D3-B4F2-107B50C17127}"/>
    <cellStyle name="Percent 2 5 6" xfId="2116" xr:uid="{09C4FCF7-A3F0-4CE6-A435-79B419C55BB7}"/>
    <cellStyle name="Percent 2 5 7" xfId="2117" xr:uid="{88D13DD1-4792-4750-B842-6017142B49B7}"/>
    <cellStyle name="Percent 2 5 8" xfId="3950" xr:uid="{A12A25F7-E1C3-43F5-A872-F4F02058C46E}"/>
    <cellStyle name="Percent 2 5 9" xfId="3951" xr:uid="{2274D33F-F01E-4551-A47C-1AE0CE77BA20}"/>
    <cellStyle name="Percent 2 6" xfId="2118" xr:uid="{FD4B92E4-7F9E-4732-81FA-E91C82E08FD7}"/>
    <cellStyle name="Percent 2 6 10" xfId="3952" xr:uid="{A445A9CF-859F-420B-A029-C65DFD27E647}"/>
    <cellStyle name="Percent 2 6 11" xfId="3953" xr:uid="{747DF2B9-BA69-489F-810D-5AE27005CAAC}"/>
    <cellStyle name="Percent 2 6 12" xfId="3954" xr:uid="{088E3F3C-C9C4-401F-8AD2-9F0F13D0D8BD}"/>
    <cellStyle name="Percent 2 6 2" xfId="2119" xr:uid="{F0E15047-1839-49F4-B790-60D6B80D1F9B}"/>
    <cellStyle name="Percent 2 6 3" xfId="2120" xr:uid="{25F5B210-A812-4F69-A3CF-7C7897D071DD}"/>
    <cellStyle name="Percent 2 6 4" xfId="2121" xr:uid="{22BA6C75-B304-459A-B29C-94465E5E53A2}"/>
    <cellStyle name="Percent 2 6 5" xfId="2122" xr:uid="{E7D5EF8E-DDC8-4C01-8733-62674E25AE45}"/>
    <cellStyle name="Percent 2 6 6" xfId="2123" xr:uid="{5A1345D0-8290-4962-8BE6-A659C7ADD9D7}"/>
    <cellStyle name="Percent 2 6 7" xfId="2124" xr:uid="{2E1F7411-F9E9-4220-A7F4-49F898D649D8}"/>
    <cellStyle name="Percent 2 6 8" xfId="3955" xr:uid="{0C51B344-16BC-40F5-BA9B-553FEC5641C8}"/>
    <cellStyle name="Percent 2 6 9" xfId="3956" xr:uid="{254101E7-4A2D-4231-8391-04A394A26120}"/>
    <cellStyle name="Percent 2 7" xfId="2125" xr:uid="{CD392C26-9106-47F3-AF61-9114525A91A7}"/>
    <cellStyle name="Percent 2 7 10" xfId="3957" xr:uid="{B044ECE5-0568-4C00-825F-8A4DCE82B021}"/>
    <cellStyle name="Percent 2 7 11" xfId="3958" xr:uid="{6B7CB49E-B5B5-4E11-954A-236A91E52B98}"/>
    <cellStyle name="Percent 2 7 12" xfId="3959" xr:uid="{CFBF492D-48DE-457D-84E0-F71604437738}"/>
    <cellStyle name="Percent 2 7 2" xfId="2126" xr:uid="{C1C6E7E1-A6C0-42EE-B5DA-8F9D40E2F935}"/>
    <cellStyle name="Percent 2 7 3" xfId="2127" xr:uid="{B0A08C27-D085-45A1-A503-9237EA543E1F}"/>
    <cellStyle name="Percent 2 7 4" xfId="2128" xr:uid="{CC49D6BE-8B0E-45E0-94AF-69AF2F6226E3}"/>
    <cellStyle name="Percent 2 7 5" xfId="2129" xr:uid="{86383D48-DF7E-49A9-A591-98D5409E67FD}"/>
    <cellStyle name="Percent 2 7 6" xfId="2130" xr:uid="{1A89467A-3990-4337-B495-CC901D4B0BD3}"/>
    <cellStyle name="Percent 2 7 7" xfId="2131" xr:uid="{A70D891F-8DCE-42FB-92D7-CAA1E693E42E}"/>
    <cellStyle name="Percent 2 7 8" xfId="3960" xr:uid="{345DCF6F-E75D-4D48-9A3F-01F72216C797}"/>
    <cellStyle name="Percent 2 7 9" xfId="3961" xr:uid="{E8416E22-6824-423E-AC14-BB939F74EAAF}"/>
    <cellStyle name="Percent 2 8" xfId="2132" xr:uid="{3F704F31-F70B-43BB-9C02-4164ED62BAF5}"/>
    <cellStyle name="Percent 2 8 10" xfId="3962" xr:uid="{21E82C72-940D-49DB-B734-B98524FE9174}"/>
    <cellStyle name="Percent 2 8 11" xfId="3963" xr:uid="{E263C4B7-713C-4A90-B355-DC3BF5A3C587}"/>
    <cellStyle name="Percent 2 8 12" xfId="3964" xr:uid="{D5B9DABF-7362-407B-BB69-1DBD9D8147CF}"/>
    <cellStyle name="Percent 2 8 2" xfId="2133" xr:uid="{86BA00E1-AF18-46EE-9752-1D3B53C39C3E}"/>
    <cellStyle name="Percent 2 8 3" xfId="2134" xr:uid="{59CA3559-F745-44CD-B456-1FF3C44599F8}"/>
    <cellStyle name="Percent 2 8 4" xfId="2135" xr:uid="{4B7B6815-4DC1-494B-B94E-5493F6FF18A2}"/>
    <cellStyle name="Percent 2 8 5" xfId="2136" xr:uid="{FB399CF1-D2E6-40E8-909B-86F12FA092A8}"/>
    <cellStyle name="Percent 2 8 6" xfId="2137" xr:uid="{1273310D-8F8E-4828-8247-F80D5550C6E2}"/>
    <cellStyle name="Percent 2 8 7" xfId="2138" xr:uid="{0D2A5E13-9BA1-40F8-8379-D7C7A7368F97}"/>
    <cellStyle name="Percent 2 8 8" xfId="3965" xr:uid="{90808F06-9A35-47B0-8A91-1E5CE111CE45}"/>
    <cellStyle name="Percent 2 8 9" xfId="3966" xr:uid="{6CEA0AD2-8B61-4FA4-8C9A-824E92789FCA}"/>
    <cellStyle name="Percent 2 9" xfId="2139" xr:uid="{A323DA49-4BEF-4A31-8A62-41F59CF55A67}"/>
    <cellStyle name="Percent 2 9 10" xfId="3967" xr:uid="{1E1650DE-1273-4984-8EC8-152BDC8A1DC8}"/>
    <cellStyle name="Percent 2 9 11" xfId="3968" xr:uid="{F03CAAB0-D96C-45AC-A71E-5353F96094BB}"/>
    <cellStyle name="Percent 2 9 12" xfId="3969" xr:uid="{5973C032-C76E-4E65-8065-A7B9AC8D96E2}"/>
    <cellStyle name="Percent 2 9 2" xfId="2140" xr:uid="{220BE93F-0484-4441-AC32-093E119AD1D7}"/>
    <cellStyle name="Percent 2 9 3" xfId="2141" xr:uid="{7EA46224-7734-4776-9D46-16C5FA11E5C9}"/>
    <cellStyle name="Percent 2 9 4" xfId="2142" xr:uid="{14666E3D-9F3B-46C3-AB1B-95A439006243}"/>
    <cellStyle name="Percent 2 9 5" xfId="2143" xr:uid="{6FDEBED2-9B8B-41EC-AA73-06D232D2C3B6}"/>
    <cellStyle name="Percent 2 9 6" xfId="2144" xr:uid="{95317AAB-0346-4081-B2A9-69FF63531487}"/>
    <cellStyle name="Percent 2 9 7" xfId="2145" xr:uid="{BEC82D24-03A0-4639-8C91-186DA58D0F73}"/>
    <cellStyle name="Percent 2 9 8" xfId="3970" xr:uid="{CC08DF62-5ECB-44DF-86E0-BE43C380289C}"/>
    <cellStyle name="Percent 2 9 9" xfId="3971" xr:uid="{C94A0E54-558E-464B-8FAE-8EC1287B2EA2}"/>
    <cellStyle name="Percent 20" xfId="3972" xr:uid="{60B7D6A4-3178-4269-B94A-980B0B1154C3}"/>
    <cellStyle name="Percent 21" xfId="3973" xr:uid="{06881D93-3EA6-4846-8DEA-FA86C9AF5C7C}"/>
    <cellStyle name="Percent 22" xfId="3974" xr:uid="{0C911C27-D4D7-413D-B6F7-4CF22F17E7B7}"/>
    <cellStyle name="Percent 23" xfId="3975" xr:uid="{7964D83E-B3E1-4CE7-B229-6BB460C56332}"/>
    <cellStyle name="Percent 3" xfId="17" xr:uid="{B47519D5-D184-4506-91C0-8131263B12EB}"/>
    <cellStyle name="Percent 3 2" xfId="44" xr:uid="{A2B15B99-93BA-444D-A2F6-93E1AB4F5F6F}"/>
    <cellStyle name="Percent 4" xfId="45" xr:uid="{5131DC1F-D890-476B-9F31-BB9446119774}"/>
    <cellStyle name="Percent 5" xfId="46" xr:uid="{2B55CBF3-75B6-48D0-B1E0-51CBF4159C71}"/>
    <cellStyle name="Percent 5 10" xfId="177" xr:uid="{4329FFA5-1C82-4AB6-A97B-7FAAABAEDBB9}"/>
    <cellStyle name="Percent 5 11" xfId="189" xr:uid="{630E3645-2DC1-44D8-AFF0-123C35C0FFD4}"/>
    <cellStyle name="Percent 5 12" xfId="191" xr:uid="{D32C5A71-D900-47E2-932D-EB812D740D96}"/>
    <cellStyle name="Percent 5 13" xfId="201" xr:uid="{D15E9210-4089-4CA7-841A-CA43DB874018}"/>
    <cellStyle name="Percent 5 14" xfId="194" xr:uid="{815073E6-AEDF-4538-BA1E-39CDBA0C317F}"/>
    <cellStyle name="Percent 5 15" xfId="203" xr:uid="{04BA1CA6-26FB-4047-A840-D9AFE67DDFA6}"/>
    <cellStyle name="Percent 5 16" xfId="206" xr:uid="{4DFF67DA-01D6-4318-AA97-1FBFAD5DA8AF}"/>
    <cellStyle name="Percent 5 17" xfId="218" xr:uid="{AD1FBE26-6852-42CB-AD47-81CAFFD5BC06}"/>
    <cellStyle name="Percent 5 18" xfId="209" xr:uid="{D51B9B16-4EBA-42E9-8F51-24D72A925976}"/>
    <cellStyle name="Percent 5 19" xfId="220" xr:uid="{C80FCE1D-3C92-40E4-B5BA-3DEECEADFC90}"/>
    <cellStyle name="Percent 5 2" xfId="115" xr:uid="{1CFCDD74-F6B6-4A25-879B-74BE5F2ABD09}"/>
    <cellStyle name="Percent 5 20" xfId="223" xr:uid="{ED37EC67-6DE1-4125-BA2F-FE446D6CD055}"/>
    <cellStyle name="Percent 5 3" xfId="106" xr:uid="{2FB453B2-B358-4D7C-AFC4-C9E5E1CDF5B6}"/>
    <cellStyle name="Percent 5 4" xfId="107" xr:uid="{13F89573-8D12-47E5-A68C-D9AC7F31D8CB}"/>
    <cellStyle name="Percent 5 5" xfId="121" xr:uid="{A7B21A2B-0D2B-4A3F-964C-5AE499D32D7F}"/>
    <cellStyle name="Percent 5 6" xfId="123" xr:uid="{74193AE3-7463-49D7-85FC-9ED3E9F3DB90}"/>
    <cellStyle name="Percent 5 7" xfId="125" xr:uid="{DD4FD4FF-3202-413D-AFC5-EF12845DFE2B}"/>
    <cellStyle name="Percent 5 8" xfId="128" xr:uid="{941BD41A-A9D4-42F1-A755-49C4AA2D85AD}"/>
    <cellStyle name="Percent 5 9" xfId="184" xr:uid="{6B990FFA-DD59-4306-9335-8CABFD4A628E}"/>
    <cellStyle name="Percent 6" xfId="3976" xr:uid="{17DDA82D-E661-48B7-BC4D-2A3FF09AB059}"/>
    <cellStyle name="Percent 7" xfId="3977" xr:uid="{25646FDB-F6EE-419A-8C53-D5FF74AED8C2}"/>
    <cellStyle name="Percent 8" xfId="3978" xr:uid="{A6B97D0E-FED2-424F-B852-04F707C99A03}"/>
    <cellStyle name="Percent 9" xfId="113" xr:uid="{4E59B838-798B-48E5-868B-D4F4CBF3D4A0}"/>
    <cellStyle name="Percentual" xfId="47" xr:uid="{163B0144-591A-4548-8A83-82CEE3983D42}"/>
    <cellStyle name="Ponto" xfId="48" xr:uid="{D22333E6-8E99-44E8-B7A9-CEBF7A245848}"/>
    <cellStyle name="Porcentagem 2" xfId="94" xr:uid="{9B5F73A4-912D-4147-9037-5C0F6F2E4187}"/>
    <cellStyle name="Porcentual_PlazoRend-II01" xfId="49" xr:uid="{28D93183-889F-4C76-ABD2-4C800B9E773D}"/>
    <cellStyle name="RightNumber" xfId="50" xr:uid="{91DFA8CF-629D-4F26-9D86-652149FA1562}"/>
    <cellStyle name="RightNumber 10" xfId="160" xr:uid="{83738C97-CCC2-442B-8ECC-B53A45E69CF3}"/>
    <cellStyle name="RightNumber 11" xfId="162" xr:uid="{0D0DA6E1-B2B7-4652-80B5-FAB90167C43C}"/>
    <cellStyle name="RightNumber 12" xfId="164" xr:uid="{57C887A7-4EFA-4272-8A2B-8B27D829AE3B}"/>
    <cellStyle name="RightNumber 13" xfId="165" xr:uid="{2CB30D99-7AFE-470D-AFA3-A71175731F09}"/>
    <cellStyle name="RightNumber 14" xfId="166" xr:uid="{B406D8A1-EAA9-430C-A52A-932A685A7BAC}"/>
    <cellStyle name="RightNumber 15" xfId="167" xr:uid="{BAE564F2-887D-4186-BB21-539A09AA3A5F}"/>
    <cellStyle name="RightNumber 16" xfId="168" xr:uid="{69E65957-E789-4282-BA8E-274FD62A26A3}"/>
    <cellStyle name="RightNumber 17" xfId="169" xr:uid="{8CC76026-86C5-4036-B0B4-E09DAAB56FBF}"/>
    <cellStyle name="RightNumber 18" xfId="170" xr:uid="{9686F9F3-9135-46D9-8E25-307F47C639F8}"/>
    <cellStyle name="RightNumber 19" xfId="176" xr:uid="{7BDD9CCB-BEC4-4464-9AD1-DCA7F990408C}"/>
    <cellStyle name="RightNumber 2" xfId="117" xr:uid="{C6D61073-96C6-4B91-800C-5EB02CAB2F8B}"/>
    <cellStyle name="RightNumber 20" xfId="185" xr:uid="{C9026019-04F5-44C0-AB58-5015C1D1BF89}"/>
    <cellStyle name="RightNumber 21" xfId="187" xr:uid="{DE8EE1F7-5802-4D40-81B4-CAAE7152E72B}"/>
    <cellStyle name="RightNumber 22" xfId="202" xr:uid="{6C2B6B2B-81DC-4ECE-B30C-6780F4C6E2A5}"/>
    <cellStyle name="RightNumber 23" xfId="193" xr:uid="{049812FA-443A-4057-8D5B-F76F3F2FC43B}"/>
    <cellStyle name="RightNumber 24" xfId="204" xr:uid="{EEAC3C47-2AD0-4044-B3F6-35C8BD583897}"/>
    <cellStyle name="RightNumber 25" xfId="219" xr:uid="{BE4D724C-C755-4B92-9C9E-F111CAD5177E}"/>
    <cellStyle name="RightNumber 26" xfId="208" xr:uid="{97AEF2EE-F747-423D-8C5C-8DE828A92C82}"/>
    <cellStyle name="RightNumber 27" xfId="221" xr:uid="{A203BD10-8860-47C9-94B6-69D547601BA8}"/>
    <cellStyle name="RightNumber 28" xfId="224" xr:uid="{68D54240-9DDA-430F-A678-BD3908C1DC5D}"/>
    <cellStyle name="RightNumber 29" xfId="2146" xr:uid="{74461F8D-F75B-477B-9B92-00975843A5FD}"/>
    <cellStyle name="RightNumber 3" xfId="119" xr:uid="{8FBE1804-F408-46C5-B8A0-404C4485E33E}"/>
    <cellStyle name="RightNumber 4" xfId="116" xr:uid="{3E4ABDB6-AF7C-4627-AFB2-237C1593C0B4}"/>
    <cellStyle name="RightNumber 5" xfId="151" xr:uid="{FBF4799F-ECDC-4174-B1AB-729DA8FEBC67}"/>
    <cellStyle name="RightNumber 6" xfId="132" xr:uid="{562F1CCB-8586-4586-AA87-A372604B3C2A}"/>
    <cellStyle name="RightNumber 7" xfId="154" xr:uid="{804D8BED-E04D-44F5-A1A5-4596209C0419}"/>
    <cellStyle name="RightNumber 8" xfId="127" xr:uid="{F2781ABE-7A4A-412E-9AA0-8BE6B83FB633}"/>
    <cellStyle name="RightNumber 9" xfId="157" xr:uid="{CA7DF46C-333E-41B1-A4A0-C8BBC9C74924}"/>
    <cellStyle name="rodape" xfId="51" xr:uid="{BED80C7B-FF7E-4592-9CF6-E96AC9466833}"/>
    <cellStyle name="Saída 2" xfId="4101" xr:uid="{5FD791C5-BA76-4AD6-A76A-3CE93325DDCF}"/>
    <cellStyle name="Sep. milhar [0]" xfId="52" xr:uid="{F432569E-FDEE-468F-B0CE-5344B630E61F}"/>
    <cellStyle name="Sep. milhar [2]" xfId="3979" xr:uid="{AC75ED7D-CF8D-4E11-96F0-3AD59799ED64}"/>
    <cellStyle name="Separador de m" xfId="3980" xr:uid="{77C5D663-FDEA-4880-BF1C-7836906AF0B6}"/>
    <cellStyle name="Separador de milhares 2" xfId="96" xr:uid="{E24669C7-6441-4421-9F6F-C33B46019AB3}"/>
    <cellStyle name="Separador de milhares 2 2" xfId="4537" xr:uid="{C452B1C7-09A0-48AB-8BDE-AFC2E6FAF262}"/>
    <cellStyle name="Texto de Aviso" xfId="7" xr:uid="{51E5D3FE-64BC-4A88-A232-67B9E2EF3F4D}"/>
    <cellStyle name="Texto de Aviso 10" xfId="3981" xr:uid="{79ED825A-0EFC-45A5-B6C1-F069671D90E5}"/>
    <cellStyle name="Texto de Aviso 11" xfId="3982" xr:uid="{608F474E-AF77-4941-B69C-C4B87D24D075}"/>
    <cellStyle name="Texto de Aviso 12" xfId="3983" xr:uid="{74B05604-1C70-4AB1-97EC-388FFB2CDB6E}"/>
    <cellStyle name="Texto de Aviso 2" xfId="2147" xr:uid="{A01CA7DE-18B0-4EB4-9DA1-85C017E6EC9D}"/>
    <cellStyle name="Texto de Aviso 3" xfId="2148" xr:uid="{DFC0E254-3706-48EE-A30F-650424E98F0F}"/>
    <cellStyle name="Texto de Aviso 4" xfId="2149" xr:uid="{6C6BC918-87A9-48AF-A059-FF8E2A64C992}"/>
    <cellStyle name="Texto de Aviso 5" xfId="2150" xr:uid="{49E69783-6515-4784-8ADF-E0027B8F255E}"/>
    <cellStyle name="Texto de Aviso 6" xfId="2151" xr:uid="{6F1E8A21-291C-4106-B85B-760F1E74F6A1}"/>
    <cellStyle name="Texto de Aviso 7" xfId="2152" xr:uid="{A4545027-F0AA-42FF-89F5-32A7E050ACDD}"/>
    <cellStyle name="Texto de Aviso 8" xfId="3984" xr:uid="{10B6C908-2D97-47A1-AF7F-231BEAAE15A9}"/>
    <cellStyle name="Texto de Aviso 9" xfId="3985" xr:uid="{0189BCD1-2537-4FC5-8528-BA67ED39C721}"/>
    <cellStyle name="Texto de Aviso_ContasExternas" xfId="2153" xr:uid="{08A48CF3-9E01-49F7-AD22-A2C285380A0A}"/>
    <cellStyle name="Title" xfId="98" builtinId="15" customBuiltin="1"/>
    <cellStyle name="Title 2" xfId="2154" xr:uid="{20BAB13F-84CA-4DDF-B7BB-65D24344FA97}"/>
    <cellStyle name="Title 2 10" xfId="3986" xr:uid="{33B72655-21D4-4742-B9D9-DE2079DCDBDD}"/>
    <cellStyle name="Title 2 11" xfId="3987" xr:uid="{AD5D606A-D7CF-4FB1-B214-2D91A126742C}"/>
    <cellStyle name="Title 2 12" xfId="3988" xr:uid="{084EF4F7-83E3-4230-A1BA-9B6048835E20}"/>
    <cellStyle name="Title 2 2" xfId="2155" xr:uid="{2F103DA3-A379-438A-9583-9CE39E2AF13F}"/>
    <cellStyle name="Title 2 2 10" xfId="3990" xr:uid="{4187C150-0E9A-4628-AFCC-CCA025F3224A}"/>
    <cellStyle name="Title 2 2 11" xfId="3991" xr:uid="{A84F5E88-B930-4BBB-B238-5B2A639E7BDD}"/>
    <cellStyle name="Title 2 2 12" xfId="3992" xr:uid="{8E7B3320-8B6C-4D4C-9C61-9A1FF96D1F68}"/>
    <cellStyle name="Title 2 2 2" xfId="2156" xr:uid="{C71263B8-F63F-4CB9-91FA-ACD69B0EB3AF}"/>
    <cellStyle name="Title 2 2 2 2" xfId="2157" xr:uid="{84501C31-C354-49E4-BC63-A25BB5187DF0}"/>
    <cellStyle name="Title 2 2 2_Trimestral" xfId="3993" xr:uid="{DF22EDE2-38F4-4DED-AABB-61F9E0259CF2}"/>
    <cellStyle name="Title 2 2 3" xfId="2158" xr:uid="{984BBAB8-1949-417A-9278-5289E1ABE206}"/>
    <cellStyle name="Title 2 2 4" xfId="2159" xr:uid="{96FD9810-9065-4CCC-8AF7-A6DC7BA0638F}"/>
    <cellStyle name="Title 2 2 5" xfId="2160" xr:uid="{F5AB9280-B6C6-4B86-B7D5-DAD46CDCC46E}"/>
    <cellStyle name="Title 2 2 6" xfId="2161" xr:uid="{80A5D641-C616-4F65-B5B0-103F19D096D0}"/>
    <cellStyle name="Title 2 2 7" xfId="2162" xr:uid="{D37601E0-19F1-4FF5-80D3-78B1F47F9EF0}"/>
    <cellStyle name="Title 2 2 8" xfId="3994" xr:uid="{C07FE98C-DCF3-4698-BCCB-C154D9DB243A}"/>
    <cellStyle name="Title 2 2 9" xfId="3995" xr:uid="{80570A95-A428-4B1D-8435-0EB5C4EFD7D1}"/>
    <cellStyle name="Title 2 2_Trimestral" xfId="3989" xr:uid="{3741D919-A5B9-42AE-8760-EF6F362DA329}"/>
    <cellStyle name="Title 2 3" xfId="2163" xr:uid="{601609EC-A235-45AE-BD55-26A76279B6F3}"/>
    <cellStyle name="Title 2 4" xfId="2164" xr:uid="{053FF3C6-D36B-4416-9EBF-BE3F72D0ECF5}"/>
    <cellStyle name="Title 2 5" xfId="2165" xr:uid="{4A18F537-D7E3-44BE-8375-584542DDC970}"/>
    <cellStyle name="Title 2 6" xfId="2166" xr:uid="{7BFC3D3B-B428-4123-9EB6-5B43D7DBDD44}"/>
    <cellStyle name="Title 2 7" xfId="2167" xr:uid="{958DB800-B1C9-48CB-A456-E5745834EF39}"/>
    <cellStyle name="Title 2 8" xfId="3996" xr:uid="{930798D2-7FF9-4D99-8C78-3A4EEBB3FBBB}"/>
    <cellStyle name="Title 2 9" xfId="3997" xr:uid="{259378A4-751C-4126-8130-6C290B80E2D3}"/>
    <cellStyle name="Title 2_ContasExternas" xfId="3998" xr:uid="{504F982B-7256-4528-92B5-A44E3CC0074D}"/>
    <cellStyle name="Title 3" xfId="2168" xr:uid="{D444D0B0-68B7-47D9-BC3A-5886D1C1629A}"/>
    <cellStyle name="Title 3 10" xfId="3999" xr:uid="{F2482C79-3971-4711-A5E4-1EC93F3B9362}"/>
    <cellStyle name="Title 3 11" xfId="4000" xr:uid="{A7CED0D4-047A-4B7F-A48F-95034BC3012A}"/>
    <cellStyle name="Title 3 12" xfId="4001" xr:uid="{723E1E54-ABF7-47F8-896F-02C958ABD25A}"/>
    <cellStyle name="Title 3 2" xfId="2169" xr:uid="{EBC0A944-A4E1-45C3-A2FB-DB0B9BEDF17B}"/>
    <cellStyle name="Title 3 3" xfId="2170" xr:uid="{049D6673-B2D1-4544-BE1F-51EE6B55CFF5}"/>
    <cellStyle name="Title 3 4" xfId="2171" xr:uid="{783B0685-AFC9-4389-91FD-1A402F866EC5}"/>
    <cellStyle name="Title 3 5" xfId="2172" xr:uid="{06128334-9B50-4A13-836B-C3331018F991}"/>
    <cellStyle name="Title 3 6" xfId="2173" xr:uid="{09B3F9CF-FE2B-4222-9EE8-181B854171B7}"/>
    <cellStyle name="Title 3 7" xfId="2174" xr:uid="{01128E11-9ADF-4979-90BA-3B0A1E9D31F0}"/>
    <cellStyle name="Title 3 8" xfId="4002" xr:uid="{593CB964-F6A2-4BD2-B88A-671C77025F50}"/>
    <cellStyle name="Title 3 9" xfId="4003" xr:uid="{EE3CF98C-942E-4A37-85AE-7F0C96952FD1}"/>
    <cellStyle name="Title 3_ContasExternas" xfId="4004" xr:uid="{5CFC3E67-DCCF-4D00-A2AD-B479CF826DC5}"/>
    <cellStyle name="Title 4" xfId="2175" xr:uid="{0ED0D43E-FA38-4281-BFEC-CDFFFA5593C6}"/>
    <cellStyle name="Title 4 10" xfId="4005" xr:uid="{326CC931-4851-4FB3-A01E-6919C96342E1}"/>
    <cellStyle name="Title 4 11" xfId="4006" xr:uid="{FBA7754E-763E-4262-8449-10D14ED4C2C5}"/>
    <cellStyle name="Title 4 12" xfId="4007" xr:uid="{E59C6D2E-9106-4423-A872-3DA5ABD59054}"/>
    <cellStyle name="Title 4 2" xfId="2176" xr:uid="{D8FAD02D-367D-4D03-817F-CDB26F083A34}"/>
    <cellStyle name="Title 4 3" xfId="2177" xr:uid="{C9C3890D-3D3B-4357-B2DE-A0E40859B569}"/>
    <cellStyle name="Title 4 4" xfId="2178" xr:uid="{B37F74B1-F757-490C-B7F8-ACCD9C75FDCC}"/>
    <cellStyle name="Title 4 5" xfId="2179" xr:uid="{965001FF-82C9-4A2C-8663-C14531BED826}"/>
    <cellStyle name="Title 4 6" xfId="2180" xr:uid="{0892CA81-05ED-4447-AF90-214C62020A34}"/>
    <cellStyle name="Title 4 7" xfId="2181" xr:uid="{9E4E03D8-A2F8-4AD4-A26E-D98D08734F2F}"/>
    <cellStyle name="Title 4 8" xfId="4008" xr:uid="{B58C81F4-FFD3-4D1D-8951-97D573E5AE03}"/>
    <cellStyle name="Title 4 9" xfId="4009" xr:uid="{75B4EF56-CFBB-4C3C-9898-6B8BFEC251CA}"/>
    <cellStyle name="Title 4_ContasExternas" xfId="4010" xr:uid="{42D5D16D-7C41-4828-8438-88C5B14736F1}"/>
    <cellStyle name="Title 5" xfId="4011" xr:uid="{C1761980-01C4-4068-AF28-E216C7582C07}"/>
    <cellStyle name="Title 6" xfId="4012" xr:uid="{E5846222-5A07-4153-8B0C-7BBEAEE199E2}"/>
    <cellStyle name="Title 7" xfId="4013" xr:uid="{B0513AF9-61DC-4768-B271-4EFF7DFCA599}"/>
    <cellStyle name="Titulo" xfId="53" xr:uid="{F0D8DFEF-85AC-4C13-BEA4-04ABF5B63CB5}"/>
    <cellStyle name="Titulo 2" xfId="4089" xr:uid="{54336229-E255-4E17-99BC-BD9A26F68075}"/>
    <cellStyle name="Titulo 2 2" xfId="4659" xr:uid="{A6C654A5-6B44-4772-BDE9-A52A6CCC0BF9}"/>
    <cellStyle name="Titulo 3" xfId="4221" xr:uid="{2ADEFF00-AE9D-4D9F-B369-186E2D460755}"/>
    <cellStyle name="Titulo 3 2" xfId="4707" xr:uid="{66E51DB9-53C7-41B9-8E23-650DA6367532}"/>
    <cellStyle name="Titulo 4" xfId="4536" xr:uid="{07FE58B8-135C-4464-BD81-62D13AF06A03}"/>
    <cellStyle name="Titulo_Annually" xfId="103" xr:uid="{7EDDB11C-5607-4219-88BC-318B16C6677D}"/>
    <cellStyle name="Titulo1" xfId="54" xr:uid="{D21A1800-E0B5-4B0E-A0A5-7D6EC25B5DF4}"/>
    <cellStyle name="Titulo2" xfId="55" xr:uid="{257129F8-6B0A-4391-AF62-5B638FF5F214}"/>
    <cellStyle name="Total" xfId="10" builtinId="25" customBuiltin="1"/>
    <cellStyle name="Total 2" xfId="2182" xr:uid="{81F9583B-8601-4487-8146-0E6511463F24}"/>
    <cellStyle name="Total 2 10" xfId="4014" xr:uid="{BA18B891-11DB-41A4-9CE5-E436A40C4497}"/>
    <cellStyle name="Total 2 10 2" xfId="4379" xr:uid="{33F8BDE5-A2CE-4E4C-A73C-4E644B7BF7B1}"/>
    <cellStyle name="Total 2 10 2 2" xfId="4857" xr:uid="{B65D5DA3-F03A-4354-BB37-5B6DD0044D08}"/>
    <cellStyle name="Total 2 10 3" xfId="4494" xr:uid="{E1F41313-8725-420D-B3ED-04E9C9A3A83B}"/>
    <cellStyle name="Total 2 11" xfId="4015" xr:uid="{8983754B-2C8A-4CDE-A8F5-9ADDB63703B1}"/>
    <cellStyle name="Total 2 11 2" xfId="4380" xr:uid="{93740328-07CB-499E-A355-2C184FE47991}"/>
    <cellStyle name="Total 2 11 2 2" xfId="4858" xr:uid="{DAF327DF-3FDF-47EE-8D06-B9DB3C36381E}"/>
    <cellStyle name="Total 2 11 3" xfId="4495" xr:uid="{F893A323-DF10-4684-A5FB-EFC5A421D988}"/>
    <cellStyle name="Total 2 12" xfId="4016" xr:uid="{847DAA53-BA13-4170-8649-CE0C50B4A75E}"/>
    <cellStyle name="Total 2 12 2" xfId="4381" xr:uid="{C3E5385C-591F-41ED-A74E-AFC080FC6F5D}"/>
    <cellStyle name="Total 2 12 2 2" xfId="4859" xr:uid="{41914CD1-8D15-40B3-9BFB-A1024C8F2C1D}"/>
    <cellStyle name="Total 2 12 3" xfId="4496" xr:uid="{8D836FA8-E457-40E8-AFCC-85E6E8EA2130}"/>
    <cellStyle name="Total 2 13" xfId="4172" xr:uid="{5A3165F4-FD7D-4F96-8322-9B669A0A5D00}"/>
    <cellStyle name="Total 2 13 2" xfId="4679" xr:uid="{3D416620-E3F5-4956-B7DF-57483D35A227}"/>
    <cellStyle name="Total 2 14" xfId="4549" xr:uid="{15E73FC4-0863-412A-BEC6-41345D4921FA}"/>
    <cellStyle name="Total 2 2" xfId="2183" xr:uid="{12CF8E62-3656-4CA7-B05D-45AABA63B65C}"/>
    <cellStyle name="Total 2 2 2" xfId="4173" xr:uid="{4096D663-3099-43D7-B15A-DA43B01C330F}"/>
    <cellStyle name="Total 2 2 2 2" xfId="4680" xr:uid="{8B11D095-4965-4E9B-ACDE-F321015C5819}"/>
    <cellStyle name="Total 2 2 3" xfId="4550" xr:uid="{18E57908-82CF-483D-AD25-E17FE24A4A54}"/>
    <cellStyle name="Total 2 3" xfId="2184" xr:uid="{D553C9EE-EDA6-415E-B7D4-BC4FC90A50EF}"/>
    <cellStyle name="Total 2 3 2" xfId="4174" xr:uid="{B529EDBC-794F-44A6-A8B8-ADD52FE0574D}"/>
    <cellStyle name="Total 2 3 2 2" xfId="4681" xr:uid="{289B3EDA-EDA7-40C0-B5E8-F6E834026BBA}"/>
    <cellStyle name="Total 2 3 3" xfId="4551" xr:uid="{4B82FCF5-1202-4F4D-B9EC-BE8B2A1E3D59}"/>
    <cellStyle name="Total 2 4" xfId="2185" xr:uid="{CC8ACF5F-FC20-4208-91EA-9A230DBEAE5A}"/>
    <cellStyle name="Total 2 4 2" xfId="4175" xr:uid="{8659005D-16A7-4A68-98B6-0F42BF2829E4}"/>
    <cellStyle name="Total 2 4 2 2" xfId="4682" xr:uid="{9A5765FB-CCB1-462A-9B25-25FB2C62C1FD}"/>
    <cellStyle name="Total 2 4 3" xfId="4552" xr:uid="{C93217DE-8428-4EBA-855E-9D9EDCB73426}"/>
    <cellStyle name="Total 2 5" xfId="2186" xr:uid="{DB6C2CF7-4BCE-4BD4-A6AE-749EEF6015E0}"/>
    <cellStyle name="Total 2 5 2" xfId="4176" xr:uid="{390BB20F-EBEE-4C12-BDE8-ECB74790B601}"/>
    <cellStyle name="Total 2 5 2 2" xfId="4683" xr:uid="{CD7264F0-FE18-4BC2-AEFE-34A81FD70EA8}"/>
    <cellStyle name="Total 2 5 3" xfId="4553" xr:uid="{19B4D339-BD83-4CD4-91FF-373699C07345}"/>
    <cellStyle name="Total 2 6" xfId="2187" xr:uid="{1879718D-376D-42AD-AC12-F42214708043}"/>
    <cellStyle name="Total 2 6 2" xfId="4177" xr:uid="{83BA0722-B4DA-4435-B369-D97E918B2747}"/>
    <cellStyle name="Total 2 6 2 2" xfId="4684" xr:uid="{BA84DA16-8C0F-400B-8EB8-C19F6B6E7E04}"/>
    <cellStyle name="Total 2 6 3" xfId="4554" xr:uid="{0E8DAE37-8201-44EF-B4EA-464FDC22ECE5}"/>
    <cellStyle name="Total 2 7" xfId="2188" xr:uid="{DB4B9616-2460-487F-8C66-9701661B4977}"/>
    <cellStyle name="Total 2 7 2" xfId="4178" xr:uid="{8AED0783-BF0C-4136-B71B-33E8E35A5774}"/>
    <cellStyle name="Total 2 7 2 2" xfId="4685" xr:uid="{A7B1A94C-9ECA-4171-9768-293836474A9E}"/>
    <cellStyle name="Total 2 7 3" xfId="4555" xr:uid="{20640170-07A1-44D7-B222-92340ABDE131}"/>
    <cellStyle name="Total 2 8" xfId="4017" xr:uid="{4B7D147C-53FC-40B9-9502-19353E5D4C22}"/>
    <cellStyle name="Total 2 8 2" xfId="4382" xr:uid="{AEACB924-473F-4062-821A-AB63F6913338}"/>
    <cellStyle name="Total 2 8 2 2" xfId="4860" xr:uid="{94ADE08E-D8A0-4EDC-B386-538AC150AFB5}"/>
    <cellStyle name="Total 2 8 3" xfId="4497" xr:uid="{D38B2541-E10A-4AAA-98A9-F7492756343F}"/>
    <cellStyle name="Total 2 9" xfId="4018" xr:uid="{FB683671-3FF6-4589-BB26-5F4770A5FCA5}"/>
    <cellStyle name="Total 2 9 2" xfId="4383" xr:uid="{3FDB27D3-A038-464A-A379-4D1A250CE4F3}"/>
    <cellStyle name="Total 2 9 2 2" xfId="4861" xr:uid="{38A06AFE-2F60-4350-9397-27608496EADF}"/>
    <cellStyle name="Total 2 9 3" xfId="4498" xr:uid="{044D89C3-B5DD-45A1-9F3E-6712EABBBFDF}"/>
    <cellStyle name="Total 2_ContasExternas" xfId="4019" xr:uid="{CEF01AE9-56D1-4009-93E9-6FF5D458EC20}"/>
    <cellStyle name="Total 3" xfId="2189" xr:uid="{33FF239C-5766-47B7-AE9A-973CFC71FC48}"/>
    <cellStyle name="Total 3 10" xfId="4020" xr:uid="{8105DE81-B209-42BF-88F7-D0BF9CFE2847}"/>
    <cellStyle name="Total 3 10 2" xfId="4384" xr:uid="{751BBCE2-4BE0-4120-BA54-061FD50B5D03}"/>
    <cellStyle name="Total 3 10 2 2" xfId="4862" xr:uid="{AFD257C8-773C-44B3-853D-A4EDDEEE9AC7}"/>
    <cellStyle name="Total 3 10 3" xfId="4499" xr:uid="{9B058481-00C3-4EDA-A68B-B741087800FD}"/>
    <cellStyle name="Total 3 11" xfId="4021" xr:uid="{C899E79D-BAF3-4643-8C2F-6B98A13AAEAE}"/>
    <cellStyle name="Total 3 11 2" xfId="4385" xr:uid="{C5B76B58-A5C4-4580-B189-882A6DC4B284}"/>
    <cellStyle name="Total 3 11 2 2" xfId="4863" xr:uid="{4B282026-1342-4A85-8FE0-D2EF2AC9A4C1}"/>
    <cellStyle name="Total 3 11 3" xfId="4500" xr:uid="{884E328C-DF9B-4A33-A867-187AF6CC4B0D}"/>
    <cellStyle name="Total 3 12" xfId="4022" xr:uid="{2308991B-7579-4AB2-BBA9-32D26C279F92}"/>
    <cellStyle name="Total 3 12 2" xfId="4386" xr:uid="{ECB253DD-5E61-41D4-B32E-B3884CE0EC07}"/>
    <cellStyle name="Total 3 12 2 2" xfId="4864" xr:uid="{1178D8DC-7769-4D94-9D55-B09F9327BF96}"/>
    <cellStyle name="Total 3 12 3" xfId="4501" xr:uid="{3C961E94-B291-4922-BB53-93078C780C9C}"/>
    <cellStyle name="Total 3 13" xfId="4179" xr:uid="{88B4DF2D-D7BC-4655-A5E5-F140130C0CC7}"/>
    <cellStyle name="Total 3 13 2" xfId="4686" xr:uid="{A2493626-0AC7-4D17-824A-3DFDE20DFD7C}"/>
    <cellStyle name="Total 3 14" xfId="4556" xr:uid="{9487A9EE-2D65-4214-BA51-6419A5EE6B47}"/>
    <cellStyle name="Total 3 2" xfId="2190" xr:uid="{3B496A73-B180-4B71-9301-CEE4370D59BB}"/>
    <cellStyle name="Total 3 2 2" xfId="4180" xr:uid="{F9D8A31C-B831-4935-BB55-BE83FE1CA035}"/>
    <cellStyle name="Total 3 2 2 2" xfId="4687" xr:uid="{606F1841-B9FC-4E87-8601-3EB844288514}"/>
    <cellStyle name="Total 3 2 3" xfId="4557" xr:uid="{F991A9E2-94A0-4B20-829A-F86204326425}"/>
    <cellStyle name="Total 3 3" xfId="2191" xr:uid="{8E481C18-B742-4841-B966-3CBF4DD76929}"/>
    <cellStyle name="Total 3 3 2" xfId="4181" xr:uid="{A78E845C-57DD-404B-93A2-D25E2D33F969}"/>
    <cellStyle name="Total 3 3 2 2" xfId="4688" xr:uid="{4427C0F2-910C-4E37-A629-1F0503E68CA3}"/>
    <cellStyle name="Total 3 3 3" xfId="4558" xr:uid="{85EAA296-FEC5-4091-9B9F-574F6D0DDF69}"/>
    <cellStyle name="Total 3 4" xfId="2192" xr:uid="{9A1BC9D2-799D-471F-907F-E7150BBEF20E}"/>
    <cellStyle name="Total 3 4 2" xfId="4182" xr:uid="{CAAABAF2-0215-4E34-9ABE-4A3AC111D644}"/>
    <cellStyle name="Total 3 4 2 2" xfId="4689" xr:uid="{1EFFCDCE-512C-48A0-8BE3-400849FF58D0}"/>
    <cellStyle name="Total 3 4 3" xfId="4559" xr:uid="{6B435E47-F66F-43B2-B9ED-0B548E675D89}"/>
    <cellStyle name="Total 3 5" xfId="2193" xr:uid="{2B20363F-2C36-48C1-ADDE-F637324DA541}"/>
    <cellStyle name="Total 3 5 2" xfId="4183" xr:uid="{99874585-0FB0-49E7-B35D-A21BBA71D37E}"/>
    <cellStyle name="Total 3 5 2 2" xfId="4690" xr:uid="{DE6E2993-982A-4072-8FC9-24CC7872E5E7}"/>
    <cellStyle name="Total 3 5 3" xfId="4560" xr:uid="{93185DD9-5D91-426E-B1C6-FF5D4C956293}"/>
    <cellStyle name="Total 3 6" xfId="2194" xr:uid="{C9F3E227-B35A-47EC-AF75-CED76A884F1B}"/>
    <cellStyle name="Total 3 6 2" xfId="4184" xr:uid="{42DE47B9-9210-4244-94EC-C7AF03BC041E}"/>
    <cellStyle name="Total 3 6 2 2" xfId="4691" xr:uid="{C35FDB7D-AB92-4497-9F97-FD5DFD843D32}"/>
    <cellStyle name="Total 3 6 3" xfId="4561" xr:uid="{3CC22A53-5531-4606-AE2A-616B86762E7F}"/>
    <cellStyle name="Total 3 7" xfId="2195" xr:uid="{8536918E-6729-4C0C-A528-FE4799B05DB5}"/>
    <cellStyle name="Total 3 7 2" xfId="4185" xr:uid="{5BAE6852-CB56-45C0-A6E4-D2AEEAE65DA1}"/>
    <cellStyle name="Total 3 7 2 2" xfId="4692" xr:uid="{B9393C1A-C785-4435-86D2-AD01EA7E751F}"/>
    <cellStyle name="Total 3 7 3" xfId="4562" xr:uid="{4FBBD767-1E74-4AF4-AB57-0BD4D27E8BCB}"/>
    <cellStyle name="Total 3 8" xfId="4023" xr:uid="{D4C66715-D4B3-4518-AC11-58847286F011}"/>
    <cellStyle name="Total 3 8 2" xfId="4387" xr:uid="{7AFA8BBE-3AA5-42F9-92E9-7421B592B70C}"/>
    <cellStyle name="Total 3 8 2 2" xfId="4865" xr:uid="{EC871CA8-D3E7-4624-9EDA-A28F2F7103A9}"/>
    <cellStyle name="Total 3 8 3" xfId="4502" xr:uid="{155E2552-DF72-44AE-8F09-B5E2F934CEA7}"/>
    <cellStyle name="Total 3 9" xfId="4024" xr:uid="{314219E8-E509-4267-8CA0-9F34339FAFBE}"/>
    <cellStyle name="Total 3 9 2" xfId="4388" xr:uid="{4664D1D3-2D2A-4A82-8E39-3CACDF3ADC99}"/>
    <cellStyle name="Total 3 9 2 2" xfId="4866" xr:uid="{4A1321CC-CFBB-4CFF-9FF1-D5BC6ABF0319}"/>
    <cellStyle name="Total 3 9 3" xfId="4503" xr:uid="{6F7A0748-24F2-4BDE-AE4C-921C49EABBE0}"/>
    <cellStyle name="Total 3_ContasExternas" xfId="4025" xr:uid="{E6CE40CF-9B31-4C90-B760-BF3B3F70C6AA}"/>
    <cellStyle name="Total 4" xfId="2196" xr:uid="{B7165F19-B236-4B6F-AA34-69A0C9B511A4}"/>
    <cellStyle name="Total 4 10" xfId="4026" xr:uid="{F34C55A5-7ADC-44B4-A66A-4005A76E080B}"/>
    <cellStyle name="Total 4 10 2" xfId="4389" xr:uid="{0F8F407A-0869-4C0E-8046-FA8D84C87E84}"/>
    <cellStyle name="Total 4 10 2 2" xfId="4867" xr:uid="{7739B319-8213-42AF-A062-B98C22E6FCF7}"/>
    <cellStyle name="Total 4 10 3" xfId="4504" xr:uid="{26444A35-41C7-4D87-A453-A240858A5209}"/>
    <cellStyle name="Total 4 11" xfId="4027" xr:uid="{D496F11D-5AA2-4E2E-A9FE-7A14C1067A44}"/>
    <cellStyle name="Total 4 11 2" xfId="4390" xr:uid="{14039FEE-610D-4E74-98A6-B3BF5A229D30}"/>
    <cellStyle name="Total 4 11 2 2" xfId="4868" xr:uid="{EF56D29A-4DAE-449F-AF6B-FC48DD48725A}"/>
    <cellStyle name="Total 4 11 3" xfId="4505" xr:uid="{F93CCE46-A0AF-4691-BB84-32AD60D095D8}"/>
    <cellStyle name="Total 4 12" xfId="4028" xr:uid="{7C662F41-7D0B-4714-B919-847DD4FDC43B}"/>
    <cellStyle name="Total 4 12 2" xfId="4391" xr:uid="{9D31D922-440C-4350-B12D-15539705E131}"/>
    <cellStyle name="Total 4 12 2 2" xfId="4869" xr:uid="{6231B69C-5771-44DD-B760-5907D240B1E8}"/>
    <cellStyle name="Total 4 12 3" xfId="4506" xr:uid="{91D4F002-6DD3-4ED5-833F-845E5A199416}"/>
    <cellStyle name="Total 4 13" xfId="4186" xr:uid="{B891FC8C-3B63-43A6-BE2A-D6E60419A394}"/>
    <cellStyle name="Total 4 13 2" xfId="4693" xr:uid="{0C6252E2-0070-4772-BFDF-6AEB3C57A6C0}"/>
    <cellStyle name="Total 4 14" xfId="4563" xr:uid="{3FF39E94-D984-49ED-8516-89F0A6B5D658}"/>
    <cellStyle name="Total 4 2" xfId="2197" xr:uid="{4F2C7AD2-CE31-4C4F-B603-1685388A0E80}"/>
    <cellStyle name="Total 4 2 2" xfId="4187" xr:uid="{EEDE16CC-5DFD-4180-8C44-340E4A460420}"/>
    <cellStyle name="Total 4 2 2 2" xfId="4694" xr:uid="{730BF2DA-5075-45E6-970C-5839F7E7B7E6}"/>
    <cellStyle name="Total 4 2 3" xfId="4564" xr:uid="{3691D559-EB7F-4816-8806-05E70734CD98}"/>
    <cellStyle name="Total 4 3" xfId="2198" xr:uid="{C9A2912C-8464-435D-B608-47AE53732D4C}"/>
    <cellStyle name="Total 4 3 2" xfId="4188" xr:uid="{8EE80A9D-4BDF-4199-B7D2-FBFFF213B016}"/>
    <cellStyle name="Total 4 3 2 2" xfId="4695" xr:uid="{92E15A23-3FED-4F3C-BC97-7DA2FED97575}"/>
    <cellStyle name="Total 4 3 3" xfId="4565" xr:uid="{95F2F9E1-719B-4B0E-84B5-2FFED87F1DEF}"/>
    <cellStyle name="Total 4 4" xfId="2199" xr:uid="{6649E395-F0A4-4A5F-890D-F2F149B43C31}"/>
    <cellStyle name="Total 4 4 2" xfId="4189" xr:uid="{EE77C520-B4B6-45D5-95DA-CED4A918F25A}"/>
    <cellStyle name="Total 4 4 2 2" xfId="4696" xr:uid="{73EC347B-FD0A-4487-B584-5D1EA560D451}"/>
    <cellStyle name="Total 4 4 3" xfId="4566" xr:uid="{8CD0A601-6FE2-40FF-8D55-960E50FD9C63}"/>
    <cellStyle name="Total 4 5" xfId="2200" xr:uid="{53DCF519-B6FF-460A-AFA6-A1FC0DA1719D}"/>
    <cellStyle name="Total 4 5 2" xfId="4190" xr:uid="{236DAF06-8769-4CFF-AFAD-4DF04E4A1618}"/>
    <cellStyle name="Total 4 5 2 2" xfId="4697" xr:uid="{D17E02A7-2B0C-4F83-ADEB-CDB4126734FE}"/>
    <cellStyle name="Total 4 5 3" xfId="4567" xr:uid="{740AA225-C61E-45BC-9F78-11A4C320A048}"/>
    <cellStyle name="Total 4 6" xfId="2201" xr:uid="{24973ABB-2BC6-4830-9B05-B752B71B8017}"/>
    <cellStyle name="Total 4 6 2" xfId="4191" xr:uid="{F7595460-30D0-4553-9AE0-CBB5DA978631}"/>
    <cellStyle name="Total 4 6 2 2" xfId="4698" xr:uid="{A39E0EB9-950A-46CF-9954-6E9B00FFAB22}"/>
    <cellStyle name="Total 4 6 3" xfId="4568" xr:uid="{66A07392-E7DF-4B8F-95EB-7B838CDA6A11}"/>
    <cellStyle name="Total 4 7" xfId="2202" xr:uid="{D3B29D48-727A-4C8A-AC4F-C35EA3AECCB9}"/>
    <cellStyle name="Total 4 7 2" xfId="4192" xr:uid="{FFB69EEF-3581-4CED-AB28-0FEA296726A9}"/>
    <cellStyle name="Total 4 7 2 2" xfId="4699" xr:uid="{6277143D-E463-41B6-9E09-A8E034A8C365}"/>
    <cellStyle name="Total 4 7 3" xfId="4569" xr:uid="{E1DD8F56-1D35-446B-BA4D-CDAD49B16A95}"/>
    <cellStyle name="Total 4 8" xfId="4029" xr:uid="{302E5C45-6AA4-4C5B-BB71-DB2AD555FF9B}"/>
    <cellStyle name="Total 4 8 2" xfId="4392" xr:uid="{69A474D4-18A4-446E-91FA-C963799E2FC3}"/>
    <cellStyle name="Total 4 8 2 2" xfId="4870" xr:uid="{09627C9E-3767-4863-8A0B-B354082EC429}"/>
    <cellStyle name="Total 4 8 3" xfId="4507" xr:uid="{EB354843-B226-4640-AC15-80F9B3DC841A}"/>
    <cellStyle name="Total 4 9" xfId="4030" xr:uid="{2B0827AB-9682-4AF6-B224-0D746738C5B3}"/>
    <cellStyle name="Total 4 9 2" xfId="4393" xr:uid="{A8E83BD1-D513-4D3D-9D1B-1915DD05B3FB}"/>
    <cellStyle name="Total 4 9 2 2" xfId="4871" xr:uid="{B82CA28F-16AC-4054-8EB5-8EAF24CBCB5E}"/>
    <cellStyle name="Total 4 9 3" xfId="4508" xr:uid="{033C3CA6-245A-4B94-BD6D-4ABDC1912482}"/>
    <cellStyle name="Total 4_ContasExternas" xfId="4031" xr:uid="{C1FBFC84-0C18-4A0A-AB50-6C7496E54145}"/>
    <cellStyle name="Total 5" xfId="2203" xr:uid="{FA801B12-5383-4487-9AD8-EDCD9EFF4EB5}"/>
    <cellStyle name="Total 5 10" xfId="4032" xr:uid="{4B26A447-D685-4FAB-A72A-1B4255DA7208}"/>
    <cellStyle name="Total 5 10 2" xfId="4394" xr:uid="{7837960D-25AA-41E5-B98C-66285CBC649B}"/>
    <cellStyle name="Total 5 10 2 2" xfId="4872" xr:uid="{31996409-C1C4-48ED-95E1-DB00668CAD51}"/>
    <cellStyle name="Total 5 10 3" xfId="4509" xr:uid="{461AC815-B6D8-4126-AA0D-55A108A15D03}"/>
    <cellStyle name="Total 5 11" xfId="4033" xr:uid="{CAA1F9E6-4D83-4982-9CA9-3E842A803364}"/>
    <cellStyle name="Total 5 11 2" xfId="4395" xr:uid="{E1DE06F8-A1CC-4961-9DCE-9C9F183FD1E0}"/>
    <cellStyle name="Total 5 11 2 2" xfId="4873" xr:uid="{10EE03DA-2B1C-437A-A2AF-0049F7A08943}"/>
    <cellStyle name="Total 5 11 3" xfId="4510" xr:uid="{94642213-4E41-44A6-BF89-95B80D7C5D54}"/>
    <cellStyle name="Total 5 12" xfId="4034" xr:uid="{4A0412E5-8A68-4840-AEC3-676FFD4B732E}"/>
    <cellStyle name="Total 5 12 2" xfId="4396" xr:uid="{FDA30C9E-4094-4929-9101-AC5545F9F59C}"/>
    <cellStyle name="Total 5 12 2 2" xfId="4874" xr:uid="{18ABDE30-73A1-46D2-8ADE-27CD13A0D38D}"/>
    <cellStyle name="Total 5 12 3" xfId="4511" xr:uid="{FC09E930-F197-4613-97F7-8F6463592C22}"/>
    <cellStyle name="Total 5 13" xfId="4193" xr:uid="{1D9AE46C-F181-41EB-B115-7BD1ABF88442}"/>
    <cellStyle name="Total 5 13 2" xfId="4700" xr:uid="{E979DD69-D734-4383-BD0F-D1ADE962D5E9}"/>
    <cellStyle name="Total 5 14" xfId="4570" xr:uid="{AE1380EA-D4CA-4138-BFCA-564F6DC12BE8}"/>
    <cellStyle name="Total 5 2" xfId="2204" xr:uid="{255AC96A-7B36-409C-8223-C83710D74B45}"/>
    <cellStyle name="Total 5 2 2" xfId="4194" xr:uid="{CB770268-98BF-44D7-87B4-B6105448D42D}"/>
    <cellStyle name="Total 5 2 2 2" xfId="4701" xr:uid="{D5E75877-58A1-4F36-8EA3-9FDCAE01D52D}"/>
    <cellStyle name="Total 5 2 3" xfId="4571" xr:uid="{AB850F56-4BCE-496C-9D9C-13317A43CA5B}"/>
    <cellStyle name="Total 5 3" xfId="2205" xr:uid="{2762BE03-F10A-4C44-8081-552F33D66F0A}"/>
    <cellStyle name="Total 5 3 2" xfId="4195" xr:uid="{CE49F98F-F03A-49BF-B9F9-86AB558F7C82}"/>
    <cellStyle name="Total 5 3 2 2" xfId="4702" xr:uid="{C07F44F8-37AD-4C2A-863D-D0C7F97AF891}"/>
    <cellStyle name="Total 5 3 3" xfId="4572" xr:uid="{0469C8AE-1CB0-42CE-AECD-A2B0FF54F76A}"/>
    <cellStyle name="Total 5 4" xfId="2206" xr:uid="{2B9CFEA6-C1A1-48F7-A7E0-7B833BFB1CCC}"/>
    <cellStyle name="Total 5 4 2" xfId="4196" xr:uid="{54C3C16D-6CF7-48E7-A51F-F695B2D91912}"/>
    <cellStyle name="Total 5 4 2 2" xfId="4703" xr:uid="{4FAD9104-58D5-4D20-9174-83B0BD9B1A12}"/>
    <cellStyle name="Total 5 4 3" xfId="4573" xr:uid="{7BEFCB35-5554-486E-86F1-CC4AF18D8D14}"/>
    <cellStyle name="Total 5 5" xfId="2207" xr:uid="{D8B2F026-5F80-4B33-A8FF-640946F6F8D9}"/>
    <cellStyle name="Total 5 5 2" xfId="4197" xr:uid="{066D6E87-24AB-46FD-B2D1-113553672568}"/>
    <cellStyle name="Total 5 5 2 2" xfId="4704" xr:uid="{6EF7717C-EB59-4DE9-9266-C333C4F07073}"/>
    <cellStyle name="Total 5 5 3" xfId="4574" xr:uid="{855AEB5D-2054-431B-8960-D2F5BDF95D25}"/>
    <cellStyle name="Total 5 6" xfId="2208" xr:uid="{C0C35C52-318F-4A64-A1F7-BB00101AB2D0}"/>
    <cellStyle name="Total 5 6 2" xfId="4198" xr:uid="{97600C6D-9F6E-426B-B014-A473EC39A7C6}"/>
    <cellStyle name="Total 5 6 2 2" xfId="4705" xr:uid="{267A842E-DAB2-4ED5-AF8F-7A051E95B973}"/>
    <cellStyle name="Total 5 6 3" xfId="4575" xr:uid="{B0B72AB9-0226-43E6-86DB-46F78FFAEEE5}"/>
    <cellStyle name="Total 5 7" xfId="2209" xr:uid="{11675F92-2288-4894-9BF3-FC694EAC1841}"/>
    <cellStyle name="Total 5 7 2" xfId="4199" xr:uid="{F01C9996-192F-4E3C-9D9C-06522BBEC353}"/>
    <cellStyle name="Total 5 7 2 2" xfId="4706" xr:uid="{6D3E8277-54E2-42DD-97F7-8860FA583A5D}"/>
    <cellStyle name="Total 5 7 3" xfId="4576" xr:uid="{D841B630-1747-4C79-A362-62D9CAB6F775}"/>
    <cellStyle name="Total 5 8" xfId="4035" xr:uid="{C7FD0072-0407-4116-ADB1-0BA96A5A79A0}"/>
    <cellStyle name="Total 5 8 2" xfId="4397" xr:uid="{4D3582D7-DD67-4F42-85D8-960B2735D937}"/>
    <cellStyle name="Total 5 8 2 2" xfId="4875" xr:uid="{76465235-1D81-4063-9B51-B116ABFBB976}"/>
    <cellStyle name="Total 5 8 3" xfId="4512" xr:uid="{7A078EB9-1D10-45A3-B0E0-1AB304A47AB1}"/>
    <cellStyle name="Total 5 9" xfId="4036" xr:uid="{635C81D3-2EB0-486D-A9EC-B743EB52EDB7}"/>
    <cellStyle name="Total 5 9 2" xfId="4398" xr:uid="{4EDE63B3-AA7D-4C60-9C53-D6405F7EF191}"/>
    <cellStyle name="Total 5 9 2 2" xfId="4876" xr:uid="{8BF221D9-C449-41EE-A497-C55739180FE0}"/>
    <cellStyle name="Total 5 9 3" xfId="4513" xr:uid="{47B4F6DB-4399-41DC-8147-078903C217C1}"/>
    <cellStyle name="Total 5_ContasExternas" xfId="4037" xr:uid="{A47B394E-A30A-44C9-93F3-6DEA41807643}"/>
    <cellStyle name="Total 6" xfId="2210" xr:uid="{DE6E721B-9CE9-4041-8AC2-62585D3372F0}"/>
    <cellStyle name="Total 6 10" xfId="4038" xr:uid="{71F71D6E-8613-4F1B-B607-DD3BB0CBF16B}"/>
    <cellStyle name="Total 6 10 2" xfId="4399" xr:uid="{863A3569-D254-4A6E-B607-FB36B9FBB4BB}"/>
    <cellStyle name="Total 6 10 2 2" xfId="4877" xr:uid="{EF822A18-8D2D-493F-8B33-C317C5B473B4}"/>
    <cellStyle name="Total 6 10 3" xfId="4514" xr:uid="{FDE76BF3-4EBA-4F4D-A961-6F6B6E86FD59}"/>
    <cellStyle name="Total 6 11" xfId="4039" xr:uid="{29823076-E6D0-4624-9D54-1E1877595FBE}"/>
    <cellStyle name="Total 6 11 2" xfId="4400" xr:uid="{A2E877AF-A860-4B14-B133-AD59262D4B22}"/>
    <cellStyle name="Total 6 11 2 2" xfId="4878" xr:uid="{0288BF94-7136-41E9-99EE-68F10E71408D}"/>
    <cellStyle name="Total 6 11 3" xfId="4515" xr:uid="{E82147D7-542F-493B-AB61-ADAC829A7DBD}"/>
    <cellStyle name="Total 6 12" xfId="4040" xr:uid="{BE4F7BE4-288F-41B8-AD5F-CFD531AA63B9}"/>
    <cellStyle name="Total 6 12 2" xfId="4401" xr:uid="{40853380-B09D-42DA-B169-572A8A0FAFA9}"/>
    <cellStyle name="Total 6 12 2 2" xfId="4879" xr:uid="{C2FF66E1-18E2-45EC-AE97-7F76C5F81DB6}"/>
    <cellStyle name="Total 6 12 3" xfId="4516" xr:uid="{C6F7BB5D-32B7-4B84-9969-89F48B454DED}"/>
    <cellStyle name="Total 6 13" xfId="4200" xr:uid="{5812E1A0-9104-415E-9806-511323626B8E}"/>
    <cellStyle name="Total 6 2" xfId="2211" xr:uid="{A050BD05-629B-45AA-8307-2AE5B7111BD0}"/>
    <cellStyle name="Total 6 2 2" xfId="4201" xr:uid="{2B2F892C-0102-449A-B7EF-6332877733C2}"/>
    <cellStyle name="Total 6 3" xfId="2212" xr:uid="{335A6342-E745-4F7B-8252-513890A05264}"/>
    <cellStyle name="Total 6 3 2" xfId="4202" xr:uid="{6156DBFD-CB53-4FC4-8B68-2BF12471EE9F}"/>
    <cellStyle name="Total 6 4" xfId="2213" xr:uid="{2AD1682B-B3A7-49AC-9586-13F75902675D}"/>
    <cellStyle name="Total 6 4 2" xfId="4203" xr:uid="{77A5F755-541D-4062-8E99-CDF93D2375CE}"/>
    <cellStyle name="Total 6 5" xfId="2214" xr:uid="{73F916C1-630E-461A-B2C1-274B35B46BEB}"/>
    <cellStyle name="Total 6 5 2" xfId="4204" xr:uid="{311D2ECE-7CAD-4468-9C7A-DBD747F065AA}"/>
    <cellStyle name="Total 6 6" xfId="2215" xr:uid="{13F64C44-6EE7-41A9-8F3D-60DFE45D06DB}"/>
    <cellStyle name="Total 6 6 2" xfId="4205" xr:uid="{4752A0AB-A194-4130-BAB6-A78D0A610050}"/>
    <cellStyle name="Total 6 7" xfId="2216" xr:uid="{8437F03D-EC6A-4B7C-9A87-24700E19024F}"/>
    <cellStyle name="Total 6 7 2" xfId="4206" xr:uid="{CF061920-F02B-4236-9D44-69D8488A9A04}"/>
    <cellStyle name="Total 6 8" xfId="4041" xr:uid="{A957BEA0-2458-49A2-BA9F-3A72FFD92DCE}"/>
    <cellStyle name="Total 6 8 2" xfId="4402" xr:uid="{89A8849E-F10E-404A-915B-3CA569A4C154}"/>
    <cellStyle name="Total 6 8 2 2" xfId="4880" xr:uid="{69CDC0C0-9CCD-4B1A-A070-49C8934AD621}"/>
    <cellStyle name="Total 6 8 3" xfId="4517" xr:uid="{B686B469-4643-490E-BCBE-88EDA104140F}"/>
    <cellStyle name="Total 6 9" xfId="4042" xr:uid="{9F4FF0D3-35AB-4583-A647-C7796BBEA409}"/>
    <cellStyle name="Total 6 9 2" xfId="4403" xr:uid="{4E76DA24-C08A-4792-B527-16B9EF78190F}"/>
    <cellStyle name="Total 6 9 2 2" xfId="4881" xr:uid="{BED4DD94-6510-4598-B60B-49C313559C9B}"/>
    <cellStyle name="Total 6 9 3" xfId="4518" xr:uid="{7C91EE65-D9E0-4A5E-9838-53771F2F847A}"/>
    <cellStyle name="Total 6_ContasExternas" xfId="4043" xr:uid="{AC89F6B1-7540-4DBD-BFDF-996CEFE1466F}"/>
    <cellStyle name="Total 7" xfId="2217" xr:uid="{290F0E37-25F0-40E3-89DD-4E40D28E36BE}"/>
    <cellStyle name="Total 7 10" xfId="4044" xr:uid="{0260962B-4F1F-4614-BC7F-12B521E8D17D}"/>
    <cellStyle name="Total 7 10 2" xfId="4404" xr:uid="{2F3225D2-593A-40DF-B06A-39BB6F8E34D4}"/>
    <cellStyle name="Total 7 10 2 2" xfId="4882" xr:uid="{83D261C7-163B-42F3-91E6-9069106F7666}"/>
    <cellStyle name="Total 7 10 3" xfId="4519" xr:uid="{972F9580-5277-4227-8140-BD657C280546}"/>
    <cellStyle name="Total 7 11" xfId="4045" xr:uid="{59BB67B4-9542-4BC9-AEDA-F5EBC255C789}"/>
    <cellStyle name="Total 7 11 2" xfId="4405" xr:uid="{289ED5C1-974B-4CA3-AB4F-4CD3BABA9DE4}"/>
    <cellStyle name="Total 7 11 2 2" xfId="4883" xr:uid="{5AC22AB9-24D1-4B81-97C2-B364FF9A776A}"/>
    <cellStyle name="Total 7 11 3" xfId="4520" xr:uid="{CE6D9138-D287-404B-81EF-503FE6BE8AA9}"/>
    <cellStyle name="Total 7 12" xfId="4046" xr:uid="{52AD97AF-1C01-4129-8C1E-1C4B9E370103}"/>
    <cellStyle name="Total 7 12 2" xfId="4406" xr:uid="{12EBE12E-928E-4678-8FBC-D5A402F38035}"/>
    <cellStyle name="Total 7 12 2 2" xfId="4884" xr:uid="{43FAD690-A139-46C2-B19B-E7E06C9CDFF1}"/>
    <cellStyle name="Total 7 12 3" xfId="4521" xr:uid="{620EC278-0166-4BE9-9266-C8371D991F3F}"/>
    <cellStyle name="Total 7 13" xfId="4207" xr:uid="{B0757543-4A3A-445F-8A73-9936BBE1958F}"/>
    <cellStyle name="Total 7 2" xfId="2218" xr:uid="{C4ED1C74-C531-4B28-8011-6F8B97C8D9D7}"/>
    <cellStyle name="Total 7 2 2" xfId="4208" xr:uid="{73DEE6CD-5091-40AB-A72C-6DE6AD997552}"/>
    <cellStyle name="Total 7 3" xfId="2219" xr:uid="{2641C249-8E10-4989-B7F9-AC1C740A7AD1}"/>
    <cellStyle name="Total 7 3 2" xfId="4209" xr:uid="{EC99318F-4714-4114-86EA-BFDE9D327559}"/>
    <cellStyle name="Total 7 4" xfId="2220" xr:uid="{B753866B-A6AF-42F1-8171-DED9F86111F9}"/>
    <cellStyle name="Total 7 4 2" xfId="4210" xr:uid="{3B53E249-07C2-4F69-86AB-7A43E7BF2785}"/>
    <cellStyle name="Total 7 5" xfId="2221" xr:uid="{F9413EA4-3B68-48DD-BE85-9EF7A0A59B83}"/>
    <cellStyle name="Total 7 5 2" xfId="4211" xr:uid="{F855434A-3883-46D7-8A0A-E9F50A472D8B}"/>
    <cellStyle name="Total 7 6" xfId="2222" xr:uid="{30430769-E5ED-41FF-ADA2-3F9C22F50F6F}"/>
    <cellStyle name="Total 7 6 2" xfId="4212" xr:uid="{F4BFD0A9-1D10-4A3D-A569-1C903C5ADE7B}"/>
    <cellStyle name="Total 7 7" xfId="2223" xr:uid="{817E39E1-6B16-4BA2-BDF8-F6E5F0DC3008}"/>
    <cellStyle name="Total 7 7 2" xfId="4213" xr:uid="{5F2D1C55-7C4C-4BE6-84A3-71BAE4C663E4}"/>
    <cellStyle name="Total 7 8" xfId="4047" xr:uid="{AA4162FE-C246-48CF-897B-403E97BA4C84}"/>
    <cellStyle name="Total 7 8 2" xfId="4407" xr:uid="{B88076EF-4C8C-4913-A444-09822910B277}"/>
    <cellStyle name="Total 7 8 2 2" xfId="4885" xr:uid="{740FADE1-0D20-4DE1-B2E6-507ACE801988}"/>
    <cellStyle name="Total 7 8 3" xfId="4522" xr:uid="{4D1BF101-8D17-48B7-88CA-24B566307566}"/>
    <cellStyle name="Total 7 9" xfId="4048" xr:uid="{65F91DA1-8F80-405B-818C-92E04EFE9E14}"/>
    <cellStyle name="Total 7 9 2" xfId="4408" xr:uid="{2348E109-157D-4614-AD1A-109D4C3917CA}"/>
    <cellStyle name="Total 7 9 2 2" xfId="4886" xr:uid="{CFC5E1B5-152E-4F6C-A0FE-99F5BB8B2088}"/>
    <cellStyle name="Total 7 9 3" xfId="4523" xr:uid="{F5BB0D1E-4C85-4BBA-A30E-386C7BBFE4B5}"/>
    <cellStyle name="Total 7_ContasExternas" xfId="4049" xr:uid="{9BE97E54-E3CA-4128-A104-216C69A82BA8}"/>
    <cellStyle name="Total 8" xfId="2224" xr:uid="{8B895E4F-DD44-444D-BEC9-58CCEEDA2452}"/>
    <cellStyle name="Total 8 10" xfId="4050" xr:uid="{50C21BC5-758C-4B00-8FCE-CA8E79242F85}"/>
    <cellStyle name="Total 8 10 2" xfId="4409" xr:uid="{9C246793-FCC8-4CBB-9FC8-C6D8C22BBC07}"/>
    <cellStyle name="Total 8 10 2 2" xfId="4887" xr:uid="{E61D4A27-83FC-4617-8868-840EF10989E9}"/>
    <cellStyle name="Total 8 10 3" xfId="4524" xr:uid="{098BDCF7-3555-4095-8EF4-76C98F40874A}"/>
    <cellStyle name="Total 8 11" xfId="4051" xr:uid="{0FFD44B8-A938-4D58-96FC-05E189326A1E}"/>
    <cellStyle name="Total 8 11 2" xfId="4410" xr:uid="{4BD06F1F-A266-4E46-8F01-8F2A4107F0AF}"/>
    <cellStyle name="Total 8 11 2 2" xfId="4888" xr:uid="{F8887EA8-0217-4CBD-9617-153C01F32295}"/>
    <cellStyle name="Total 8 11 3" xfId="4525" xr:uid="{C6E1E6B7-1CED-40DB-A4E7-A7769969EE00}"/>
    <cellStyle name="Total 8 12" xfId="4052" xr:uid="{37D41233-BDAF-4255-A583-94058ADDF16B}"/>
    <cellStyle name="Total 8 12 2" xfId="4411" xr:uid="{AFAB06B1-4ED8-48F0-90D7-E2D20ACF5094}"/>
    <cellStyle name="Total 8 12 2 2" xfId="4889" xr:uid="{446F3127-6FC7-4BA0-990C-160272F11CF0}"/>
    <cellStyle name="Total 8 12 3" xfId="4526" xr:uid="{842705FA-22B2-4D3D-B5E3-257C7D637BFF}"/>
    <cellStyle name="Total 8 13" xfId="4214" xr:uid="{BED587C1-BF47-4869-A32C-92EAD585E67D}"/>
    <cellStyle name="Total 8 2" xfId="2225" xr:uid="{B643682C-2F6F-4B87-8662-576C8493F2D1}"/>
    <cellStyle name="Total 8 2 2" xfId="4215" xr:uid="{6E8EDAF8-3CE2-4AE4-96C1-D3AD4FD05F54}"/>
    <cellStyle name="Total 8 3" xfId="2226" xr:uid="{84E8844A-D32C-4639-8960-BC09DAFEF987}"/>
    <cellStyle name="Total 8 3 2" xfId="4216" xr:uid="{E54FF9FD-7FA1-4950-A654-8FE2066F082B}"/>
    <cellStyle name="Total 8 4" xfId="2227" xr:uid="{435D8BEC-5695-4FC7-B1D9-355CD24665B1}"/>
    <cellStyle name="Total 8 4 2" xfId="4217" xr:uid="{6A053377-72CA-4836-9AB5-08737E3BD3D2}"/>
    <cellStyle name="Total 8 5" xfId="2228" xr:uid="{E8C2F686-8F83-4379-A1A8-78674411B4CD}"/>
    <cellStyle name="Total 8 5 2" xfId="4218" xr:uid="{5FB309E5-3777-43A5-8BF8-069699046759}"/>
    <cellStyle name="Total 8 6" xfId="2229" xr:uid="{E65D7786-8DF9-4A10-8A44-72EAC81FD659}"/>
    <cellStyle name="Total 8 6 2" xfId="4219" xr:uid="{22F659FA-783A-465E-B7E6-36ECE86FBBD1}"/>
    <cellStyle name="Total 8 7" xfId="2230" xr:uid="{2FA8D9CD-8355-42BE-AE39-38867EBB9F0C}"/>
    <cellStyle name="Total 8 7 2" xfId="4220" xr:uid="{E3D17C3E-73F4-4741-A151-C1D47A7B42A3}"/>
    <cellStyle name="Total 8 8" xfId="4053" xr:uid="{BEDA9122-064F-4955-836B-AAF0CFF9C1D8}"/>
    <cellStyle name="Total 8 8 2" xfId="4412" xr:uid="{F9F6D471-1573-4667-8F26-89958C7CA321}"/>
    <cellStyle name="Total 8 8 2 2" xfId="4890" xr:uid="{2CACEFE7-4D16-4403-B9DB-F117FFE23F2A}"/>
    <cellStyle name="Total 8 8 3" xfId="4527" xr:uid="{4029B5E8-5950-4D5B-9484-2554BE4A5AA7}"/>
    <cellStyle name="Total 8 9" xfId="4054" xr:uid="{E818DDD8-D189-4F31-AA58-84367D412463}"/>
    <cellStyle name="Total 8 9 2" xfId="4413" xr:uid="{FBBC1E1D-1383-4512-A51D-57850C589C94}"/>
    <cellStyle name="Total 8 9 2 2" xfId="4891" xr:uid="{29A36254-E159-4684-96B6-556E23392DFA}"/>
    <cellStyle name="Total 8 9 3" xfId="4528" xr:uid="{FEBFDD86-F689-4C3F-87A8-2BA51AB6559A}"/>
    <cellStyle name="Total 8_ContasExternas" xfId="4055" xr:uid="{E26E225C-A7AB-47BE-826E-E60E41F9B2B9}"/>
    <cellStyle name="Total 9" xfId="4056" xr:uid="{315988F6-E297-407F-8013-F407228D192A}"/>
    <cellStyle name="Total 9 2" xfId="4414" xr:uid="{326707F4-AAE2-4EA7-B282-7F90795F0EA5}"/>
    <cellStyle name="Total 9 2 2" xfId="4892" xr:uid="{BE1BFA8F-1AFA-4837-9784-9715C1CB4973}"/>
    <cellStyle name="Total 9 3" xfId="4529" xr:uid="{BCA94C55-1CE4-4985-B589-F49F039EB380}"/>
    <cellStyle name="V¡rgula" xfId="4057" xr:uid="{0C920B2F-7D1D-47C6-99F3-9CC5CDECB8D4}"/>
    <cellStyle name="V¡rgula0" xfId="4058" xr:uid="{6F0289F8-A3D5-4D49-A096-F1486AF8DEA5}"/>
    <cellStyle name="Vírgul - Estilo1" xfId="4059" xr:uid="{B4133307-93E4-4A6B-8E19-EC7E4EF3F8DB}"/>
    <cellStyle name="Vírgula0" xfId="4061" xr:uid="{DC80B424-CC77-4E5A-AE99-51E6F4277736}"/>
    <cellStyle name="Warning Text 2" xfId="2231" xr:uid="{3063B8F4-0753-4C36-9B56-7AD9ED0F8863}"/>
    <cellStyle name="Warning Text 2 10" xfId="4062" xr:uid="{C5E52106-221B-4721-B8A3-C5B1C7F8BF93}"/>
    <cellStyle name="Warning Text 2 11" xfId="4063" xr:uid="{F298BD5C-E629-495E-B7A9-522163088D2F}"/>
    <cellStyle name="Warning Text 2 12" xfId="4064" xr:uid="{D9CF1346-8035-40C8-8707-D573BE801BAA}"/>
    <cellStyle name="Warning Text 2 2" xfId="2232" xr:uid="{1D5B159F-046C-4426-8737-713F5361697F}"/>
    <cellStyle name="Warning Text 2 3" xfId="2233" xr:uid="{207433F1-691A-4BCC-B69F-73F30D2C9311}"/>
    <cellStyle name="Warning Text 2 4" xfId="2234" xr:uid="{DA7E4EBE-82F8-4A99-BC3E-066910C52E91}"/>
    <cellStyle name="Warning Text 2 5" xfId="2235" xr:uid="{D51736BF-79B8-4E18-A0D6-8794B7186832}"/>
    <cellStyle name="Warning Text 2 6" xfId="2236" xr:uid="{7BDF0CE3-F5B2-4489-A8BA-A7321A52EAB5}"/>
    <cellStyle name="Warning Text 2 7" xfId="2237" xr:uid="{B676BBC9-6F2C-48B5-89AC-5501659F7D29}"/>
    <cellStyle name="Warning Text 2 8" xfId="4065" xr:uid="{FA70A834-FA63-43B2-8052-0EC02061024B}"/>
    <cellStyle name="Warning Text 2 9" xfId="4066" xr:uid="{6ACED02C-657D-4CD1-8211-8A0ACC2F41B1}"/>
    <cellStyle name="Warning Text 2_ContasExternas" xfId="4067" xr:uid="{1057F63B-FA32-406E-A686-A7927BF204E1}"/>
    <cellStyle name="Warning Text 3" xfId="2238" xr:uid="{FE17AD64-C046-4F4A-9232-CED173E98C91}"/>
    <cellStyle name="Warning Text 3 10" xfId="4069" xr:uid="{2E156CD8-3638-4813-BD8E-1ECBFD3928A2}"/>
    <cellStyle name="Warning Text 3 11" xfId="4070" xr:uid="{371ADC1B-8126-4BCF-9D24-AED504D43866}"/>
    <cellStyle name="Warning Text 3 12" xfId="4071" xr:uid="{F34B7808-2DE4-4DF3-BB81-E71F950DF6E2}"/>
    <cellStyle name="Warning Text 3 2" xfId="2239" xr:uid="{0F65C739-33F3-46EB-94E4-F701A85AA429}"/>
    <cellStyle name="Warning Text 3 3" xfId="2240" xr:uid="{04F9201A-DAB0-48D1-AAB6-643FD30E1BBE}"/>
    <cellStyle name="Warning Text 3 4" xfId="2241" xr:uid="{6362099F-8034-4A80-B6C9-8972C9917854}"/>
    <cellStyle name="Warning Text 3 5" xfId="2242" xr:uid="{262E5C80-93A2-4BED-9C52-CC0FEAEF129E}"/>
    <cellStyle name="Warning Text 3 6" xfId="2243" xr:uid="{F26B7656-CE55-4190-A0E5-8395E7632041}"/>
    <cellStyle name="Warning Text 3 7" xfId="2244" xr:uid="{9F60B3AD-5B4C-4F6B-89D7-4B9AE4C3455A}"/>
    <cellStyle name="Warning Text 3 8" xfId="4072" xr:uid="{979D49D7-14FE-437B-A578-99DA802B5E22}"/>
    <cellStyle name="Warning Text 3 9" xfId="4073" xr:uid="{EF775118-3039-4B19-8E51-08400C9412F9}"/>
    <cellStyle name="Warning Text 3_Trimestral" xfId="4068" xr:uid="{CFD5BAA7-81C3-4D62-8311-23F151E8D19E}"/>
    <cellStyle name="Warning Text 4" xfId="2245" xr:uid="{85FE0519-7A56-432C-A962-C31716E685E8}"/>
    <cellStyle name="Warning Text 4 10" xfId="4075" xr:uid="{D6AA0157-0679-4B04-B359-2A34F55A073D}"/>
    <cellStyle name="Warning Text 4 11" xfId="4076" xr:uid="{AA5E88A1-68DF-40DB-8A28-0DB3A440B1C4}"/>
    <cellStyle name="Warning Text 4 12" xfId="4077" xr:uid="{0FD83373-BB54-4443-A278-1D825DBCD2AE}"/>
    <cellStyle name="Warning Text 4 2" xfId="2246" xr:uid="{64818E82-95C6-407B-9795-058DB7E74B8A}"/>
    <cellStyle name="Warning Text 4 3" xfId="2247" xr:uid="{3474B12A-E096-4CF4-85A5-CDD0176F554F}"/>
    <cellStyle name="Warning Text 4 4" xfId="2248" xr:uid="{60806B08-FB0C-4A4E-9861-2ED055F6C617}"/>
    <cellStyle name="Warning Text 4 5" xfId="2249" xr:uid="{19931AA5-9C58-4DA0-93EA-753804888789}"/>
    <cellStyle name="Warning Text 4 6" xfId="2250" xr:uid="{A12C3A04-2C0C-4564-BD08-1A1CA71BC618}"/>
    <cellStyle name="Warning Text 4 7" xfId="2251" xr:uid="{4DB531AC-E914-4685-B796-639B5163AE6A}"/>
    <cellStyle name="Warning Text 4 8" xfId="4078" xr:uid="{A17947B8-FA3C-4F6F-9033-CB5D6B995EDC}"/>
    <cellStyle name="Warning Text 4 9" xfId="4079" xr:uid="{D387C084-B757-44FE-B10B-006AA0F2D842}"/>
    <cellStyle name="Warning Text 4_Trimestral" xfId="4074" xr:uid="{A21B2BC7-B11B-4B17-BBCC-EB949B413F36}"/>
    <cellStyle name="Warning Text 5" xfId="2252" xr:uid="{BAD4F407-8A55-40E5-A7F7-1403D24446EE}"/>
    <cellStyle name="Warning Text 5 10" xfId="4081" xr:uid="{B504D039-D725-4C78-B933-B98789CDD8C1}"/>
    <cellStyle name="Warning Text 5 11" xfId="4082" xr:uid="{26A2DA17-66B1-439F-98EA-6654F5DA8542}"/>
    <cellStyle name="Warning Text 5 12" xfId="4083" xr:uid="{6E2B45E3-96EA-45FC-8715-BE3DFCFF1ACF}"/>
    <cellStyle name="Warning Text 5 2" xfId="2253" xr:uid="{7AF2CBDE-A1CA-47E4-B771-A5129700DDBF}"/>
    <cellStyle name="Warning Text 5 3" xfId="2254" xr:uid="{2461A1C1-3972-46F4-9514-BFB3012E6A0F}"/>
    <cellStyle name="Warning Text 5 4" xfId="2255" xr:uid="{99A9539D-6309-4E42-B887-FA723CAAF5DF}"/>
    <cellStyle name="Warning Text 5 5" xfId="2256" xr:uid="{3D2EE222-F0C7-491F-B771-79B5D5B89FFE}"/>
    <cellStyle name="Warning Text 5 6" xfId="2257" xr:uid="{8142B08C-60BB-4B07-8B1C-B5755D8C75F4}"/>
    <cellStyle name="Warning Text 5 7" xfId="2258" xr:uid="{5FD360E8-D058-4CF3-9D15-5E9E4E866D53}"/>
    <cellStyle name="Warning Text 5 8" xfId="4084" xr:uid="{D9E91E84-1321-4A7C-A8CB-D1136B82F3B6}"/>
    <cellStyle name="Warning Text 5 9" xfId="4085" xr:uid="{4F93621F-F56F-44AF-AC46-18698BDC5234}"/>
    <cellStyle name="Warning Text 5_Trimestral" xfId="4080" xr:uid="{812B7BCC-5D18-40E2-88D2-2C8AAF30F923}"/>
    <cellStyle name="Warning Text 6" xfId="4086" xr:uid="{D618B798-793D-43FC-8443-017D06BCCB7C}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D2C8"/>
      <color rgb="FFE85E38"/>
      <color rgb="FFD4D5D6"/>
      <color rgb="FF2FFFF5"/>
      <color rgb="FFC1FFFC"/>
      <color rgb="FF00B5AD"/>
      <color rgb="FF008A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e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118311</xdr:rowOff>
    </xdr:from>
    <xdr:ext cx="2680232" cy="349727"/>
    <xdr:pic>
      <xdr:nvPicPr>
        <xdr:cNvPr id="2" name="Picture 1">
          <a:extLst>
            <a:ext uri="{FF2B5EF4-FFF2-40B4-BE49-F238E27FC236}">
              <a16:creationId xmlns:a16="http://schemas.microsoft.com/office/drawing/2014/main" id="{3776CC0A-401A-4A26-BF48-3A0E3097B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18311"/>
          <a:ext cx="2680232" cy="349727"/>
        </a:xfrm>
        <a:prstGeom prst="rect">
          <a:avLst/>
        </a:prstGeom>
      </xdr:spPr>
    </xdr:pic>
    <xdr:clientData/>
  </xdr:oneCellAnchor>
  <xdr:oneCellAnchor>
    <xdr:from>
      <xdr:col>3</xdr:col>
      <xdr:colOff>224810</xdr:colOff>
      <xdr:row>0</xdr:row>
      <xdr:rowOff>76200</xdr:rowOff>
    </xdr:from>
    <xdr:ext cx="426487" cy="433448"/>
    <xdr:pic>
      <xdr:nvPicPr>
        <xdr:cNvPr id="3" name="Picture 2">
          <a:extLst>
            <a:ext uri="{FF2B5EF4-FFF2-40B4-BE49-F238E27FC236}">
              <a16:creationId xmlns:a16="http://schemas.microsoft.com/office/drawing/2014/main" id="{EBFA28BE-28D8-4984-B29C-EAEDA9DBC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3610" y="76200"/>
          <a:ext cx="426487" cy="433448"/>
        </a:xfrm>
        <a:prstGeom prst="rect">
          <a:avLst/>
        </a:prstGeom>
      </xdr:spPr>
    </xdr:pic>
    <xdr:clientData/>
  </xdr:oneCellAnchor>
  <xdr:oneCellAnchor>
    <xdr:from>
      <xdr:col>3</xdr:col>
      <xdr:colOff>588630</xdr:colOff>
      <xdr:row>0</xdr:row>
      <xdr:rowOff>181961</xdr:rowOff>
    </xdr:from>
    <xdr:ext cx="400821" cy="239589"/>
    <xdr:pic>
      <xdr:nvPicPr>
        <xdr:cNvPr id="4" name="Picture 3">
          <a:extLst>
            <a:ext uri="{FF2B5EF4-FFF2-40B4-BE49-F238E27FC236}">
              <a16:creationId xmlns:a16="http://schemas.microsoft.com/office/drawing/2014/main" id="{E3D9C63B-CFA0-4A46-B40E-101FD4929E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652" t="57049" r="33544" b="23935"/>
        <a:stretch/>
      </xdr:blipFill>
      <xdr:spPr>
        <a:xfrm>
          <a:off x="2417430" y="181961"/>
          <a:ext cx="400821" cy="239589"/>
        </a:xfrm>
        <a:prstGeom prst="rect">
          <a:avLst/>
        </a:prstGeom>
      </xdr:spPr>
    </xdr:pic>
    <xdr:clientData/>
  </xdr:oneCellAnchor>
  <xdr:twoCellAnchor>
    <xdr:from>
      <xdr:col>3</xdr:col>
      <xdr:colOff>152263</xdr:colOff>
      <xdr:row>0</xdr:row>
      <xdr:rowOff>86642</xdr:rowOff>
    </xdr:from>
    <xdr:to>
      <xdr:col>3</xdr:col>
      <xdr:colOff>152263</xdr:colOff>
      <xdr:row>2</xdr:row>
      <xdr:rowOff>117071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506B08B-5A78-4D85-89CE-363E89BB9B74}"/>
            </a:ext>
          </a:extLst>
        </xdr:cNvPr>
        <xdr:cNvCxnSpPr/>
      </xdr:nvCxnSpPr>
      <xdr:spPr>
        <a:xfrm>
          <a:off x="1981063" y="86642"/>
          <a:ext cx="0" cy="411429"/>
        </a:xfrm>
        <a:prstGeom prst="line">
          <a:avLst/>
        </a:prstGeom>
        <a:ln w="12700">
          <a:solidFill>
            <a:srgbClr val="008A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285750</xdr:colOff>
      <xdr:row>3</xdr:row>
      <xdr:rowOff>85725</xdr:rowOff>
    </xdr:from>
    <xdr:ext cx="3671507" cy="1885950"/>
    <xdr:pic>
      <xdr:nvPicPr>
        <xdr:cNvPr id="6" name="Picture 5">
          <a:extLst>
            <a:ext uri="{FF2B5EF4-FFF2-40B4-BE49-F238E27FC236}">
              <a16:creationId xmlns:a16="http://schemas.microsoft.com/office/drawing/2014/main" id="{437A39DC-94FB-400E-8F3C-0B92A6679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657225"/>
          <a:ext cx="3671507" cy="18859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16</xdr:row>
      <xdr:rowOff>0</xdr:rowOff>
    </xdr:from>
    <xdr:ext cx="3671507" cy="1885950"/>
    <xdr:pic>
      <xdr:nvPicPr>
        <xdr:cNvPr id="2" name="Picture 1">
          <a:extLst>
            <a:ext uri="{FF2B5EF4-FFF2-40B4-BE49-F238E27FC236}">
              <a16:creationId xmlns:a16="http://schemas.microsoft.com/office/drawing/2014/main" id="{A434CCE5-2EA1-41C3-BCE1-9393D5A0C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4696" y="3056283"/>
          <a:ext cx="3671507" cy="18859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123826</xdr:rowOff>
    </xdr:from>
    <xdr:ext cx="2676607" cy="344904"/>
    <xdr:pic>
      <xdr:nvPicPr>
        <xdr:cNvPr id="2" name="Picture 1">
          <a:extLst>
            <a:ext uri="{FF2B5EF4-FFF2-40B4-BE49-F238E27FC236}">
              <a16:creationId xmlns:a16="http://schemas.microsoft.com/office/drawing/2014/main" id="{CD62297D-F59A-45AE-979E-CE1B14AD7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23826"/>
          <a:ext cx="2676607" cy="344904"/>
        </a:xfrm>
        <a:prstGeom prst="rect">
          <a:avLst/>
        </a:prstGeom>
      </xdr:spPr>
    </xdr:pic>
    <xdr:clientData/>
  </xdr:oneCellAnchor>
  <xdr:oneCellAnchor>
    <xdr:from>
      <xdr:col>1</xdr:col>
      <xdr:colOff>2676955</xdr:colOff>
      <xdr:row>0</xdr:row>
      <xdr:rowOff>81715</xdr:rowOff>
    </xdr:from>
    <xdr:ext cx="424289" cy="428625"/>
    <xdr:pic>
      <xdr:nvPicPr>
        <xdr:cNvPr id="3" name="Picture 2">
          <a:extLst>
            <a:ext uri="{FF2B5EF4-FFF2-40B4-BE49-F238E27FC236}">
              <a16:creationId xmlns:a16="http://schemas.microsoft.com/office/drawing/2014/main" id="{7DF85C6C-7EEA-4605-AABE-C44E2B01D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630" y="81715"/>
          <a:ext cx="424289" cy="428625"/>
        </a:xfrm>
        <a:prstGeom prst="rect">
          <a:avLst/>
        </a:prstGeom>
      </xdr:spPr>
    </xdr:pic>
    <xdr:clientData/>
  </xdr:oneCellAnchor>
  <xdr:oneCellAnchor>
    <xdr:from>
      <xdr:col>2</xdr:col>
      <xdr:colOff>409677</xdr:colOff>
      <xdr:row>0</xdr:row>
      <xdr:rowOff>177951</xdr:rowOff>
    </xdr:from>
    <xdr:ext cx="400821" cy="234766"/>
    <xdr:pic>
      <xdr:nvPicPr>
        <xdr:cNvPr id="4" name="Picture 3">
          <a:extLst>
            <a:ext uri="{FF2B5EF4-FFF2-40B4-BE49-F238E27FC236}">
              <a16:creationId xmlns:a16="http://schemas.microsoft.com/office/drawing/2014/main" id="{A0D43AA4-6CBD-404C-A526-4BFD1B4675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652" t="57049" r="33544" b="23935"/>
        <a:stretch/>
      </xdr:blipFill>
      <xdr:spPr>
        <a:xfrm>
          <a:off x="1628877" y="177951"/>
          <a:ext cx="400821" cy="234766"/>
        </a:xfrm>
        <a:prstGeom prst="rect">
          <a:avLst/>
        </a:prstGeom>
      </xdr:spPr>
    </xdr:pic>
    <xdr:clientData/>
  </xdr:oneCellAnchor>
  <xdr:twoCellAnchor>
    <xdr:from>
      <xdr:col>1</xdr:col>
      <xdr:colOff>2661558</xdr:colOff>
      <xdr:row>0</xdr:row>
      <xdr:rowOff>82632</xdr:rowOff>
    </xdr:from>
    <xdr:to>
      <xdr:col>1</xdr:col>
      <xdr:colOff>2661558</xdr:colOff>
      <xdr:row>2</xdr:row>
      <xdr:rowOff>108238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A4CD779-7CB6-4910-90B3-4DD680DE0158}"/>
            </a:ext>
          </a:extLst>
        </xdr:cNvPr>
        <xdr:cNvCxnSpPr/>
      </xdr:nvCxnSpPr>
      <xdr:spPr>
        <a:xfrm>
          <a:off x="1223283" y="82632"/>
          <a:ext cx="0" cy="406606"/>
        </a:xfrm>
        <a:prstGeom prst="line">
          <a:avLst/>
        </a:prstGeom>
        <a:ln w="12700">
          <a:solidFill>
            <a:srgbClr val="008A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1</xdr:col>
      <xdr:colOff>2562307</xdr:colOff>
      <xdr:row>2</xdr:row>
      <xdr:rowOff>87730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06D877-6760-D832-90C6-E72542F53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23826"/>
          <a:ext cx="2674100" cy="339891"/>
        </a:xfrm>
        <a:prstGeom prst="rect">
          <a:avLst/>
        </a:prstGeom>
      </xdr:spPr>
    </xdr:pic>
    <xdr:clientData/>
  </xdr:twoCellAnchor>
  <xdr:twoCellAnchor editAs="oneCell">
    <xdr:from>
      <xdr:col>1</xdr:col>
      <xdr:colOff>2676955</xdr:colOff>
      <xdr:row>0</xdr:row>
      <xdr:rowOff>81715</xdr:rowOff>
    </xdr:from>
    <xdr:to>
      <xdr:col>2</xdr:col>
      <xdr:colOff>158019</xdr:colOff>
      <xdr:row>2</xdr:row>
      <xdr:rowOff>129340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D2CD5F-8589-FE04-D6FB-8CE1D04AA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7455" y="81715"/>
          <a:ext cx="428211" cy="428625"/>
        </a:xfrm>
        <a:prstGeom prst="rect">
          <a:avLst/>
        </a:prstGeom>
      </xdr:spPr>
    </xdr:pic>
    <xdr:clientData/>
  </xdr:twoCellAnchor>
  <xdr:twoCellAnchor editAs="oneCell">
    <xdr:from>
      <xdr:col>2</xdr:col>
      <xdr:colOff>181077</xdr:colOff>
      <xdr:row>0</xdr:row>
      <xdr:rowOff>177951</xdr:rowOff>
    </xdr:from>
    <xdr:to>
      <xdr:col>2</xdr:col>
      <xdr:colOff>581898</xdr:colOff>
      <xdr:row>2</xdr:row>
      <xdr:rowOff>31717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2C2A21A-A0E7-F193-7CBE-792C001697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652" t="57049" r="33544" b="23935"/>
        <a:stretch/>
      </xdr:blipFill>
      <xdr:spPr>
        <a:xfrm>
          <a:off x="3229077" y="177951"/>
          <a:ext cx="400821" cy="234766"/>
        </a:xfrm>
        <a:prstGeom prst="rect">
          <a:avLst/>
        </a:prstGeom>
      </xdr:spPr>
    </xdr:pic>
    <xdr:clientData/>
  </xdr:twoCellAnchor>
  <xdr:twoCellAnchor>
    <xdr:from>
      <xdr:col>1</xdr:col>
      <xdr:colOff>2661558</xdr:colOff>
      <xdr:row>0</xdr:row>
      <xdr:rowOff>82632</xdr:rowOff>
    </xdr:from>
    <xdr:to>
      <xdr:col>1</xdr:col>
      <xdr:colOff>2661558</xdr:colOff>
      <xdr:row>2</xdr:row>
      <xdr:rowOff>108238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A2BA14C-F5BD-6038-2980-66313E6A4833}"/>
            </a:ext>
          </a:extLst>
        </xdr:cNvPr>
        <xdr:cNvCxnSpPr/>
      </xdr:nvCxnSpPr>
      <xdr:spPr>
        <a:xfrm>
          <a:off x="2852058" y="82632"/>
          <a:ext cx="0" cy="406606"/>
        </a:xfrm>
        <a:prstGeom prst="line">
          <a:avLst/>
        </a:prstGeom>
        <a:ln w="12700">
          <a:solidFill>
            <a:srgbClr val="008A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118311</xdr:rowOff>
    </xdr:from>
    <xdr:to>
      <xdr:col>1</xdr:col>
      <xdr:colOff>2267032</xdr:colOff>
      <xdr:row>2</xdr:row>
      <xdr:rowOff>82215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22B862-020E-4580-AD93-36848C8F5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18311"/>
          <a:ext cx="2676607" cy="344904"/>
        </a:xfrm>
        <a:prstGeom prst="rect">
          <a:avLst/>
        </a:prstGeom>
      </xdr:spPr>
    </xdr:pic>
    <xdr:clientData/>
  </xdr:twoCellAnchor>
  <xdr:twoCellAnchor editAs="oneCell">
    <xdr:from>
      <xdr:col>1</xdr:col>
      <xdr:colOff>2372155</xdr:colOff>
      <xdr:row>0</xdr:row>
      <xdr:rowOff>76200</xdr:rowOff>
    </xdr:from>
    <xdr:to>
      <xdr:col>2</xdr:col>
      <xdr:colOff>131642</xdr:colOff>
      <xdr:row>2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9A2F01-7AD3-4AAC-B55A-19CC2E0EC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755" y="76200"/>
          <a:ext cx="426487" cy="428625"/>
        </a:xfrm>
        <a:prstGeom prst="rect">
          <a:avLst/>
        </a:prstGeom>
      </xdr:spPr>
    </xdr:pic>
    <xdr:clientData/>
  </xdr:twoCellAnchor>
  <xdr:twoCellAnchor editAs="oneCell">
    <xdr:from>
      <xdr:col>2</xdr:col>
      <xdr:colOff>230900</xdr:colOff>
      <xdr:row>0</xdr:row>
      <xdr:rowOff>172436</xdr:rowOff>
    </xdr:from>
    <xdr:to>
      <xdr:col>2</xdr:col>
      <xdr:colOff>631721</xdr:colOff>
      <xdr:row>2</xdr:row>
      <xdr:rowOff>26202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B2F468-462D-44A2-8354-1E717FB2D2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652" t="57049" r="33544" b="23935"/>
        <a:stretch/>
      </xdr:blipFill>
      <xdr:spPr>
        <a:xfrm>
          <a:off x="3421775" y="172436"/>
          <a:ext cx="400821" cy="234766"/>
        </a:xfrm>
        <a:prstGeom prst="rect">
          <a:avLst/>
        </a:prstGeom>
      </xdr:spPr>
    </xdr:pic>
    <xdr:clientData/>
  </xdr:twoCellAnchor>
  <xdr:twoCellAnchor>
    <xdr:from>
      <xdr:col>1</xdr:col>
      <xdr:colOff>2356758</xdr:colOff>
      <xdr:row>0</xdr:row>
      <xdr:rowOff>77117</xdr:rowOff>
    </xdr:from>
    <xdr:to>
      <xdr:col>1</xdr:col>
      <xdr:colOff>2356758</xdr:colOff>
      <xdr:row>2</xdr:row>
      <xdr:rowOff>102723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57A4EBF-BD6C-45D8-A897-6C1D0CA7C966}"/>
            </a:ext>
          </a:extLst>
        </xdr:cNvPr>
        <xdr:cNvCxnSpPr/>
      </xdr:nvCxnSpPr>
      <xdr:spPr>
        <a:xfrm>
          <a:off x="2966358" y="77117"/>
          <a:ext cx="0" cy="406606"/>
        </a:xfrm>
        <a:prstGeom prst="line">
          <a:avLst/>
        </a:prstGeom>
        <a:ln w="12700">
          <a:solidFill>
            <a:srgbClr val="008A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485776</xdr:colOff>
      <xdr:row>61</xdr:row>
      <xdr:rowOff>133350</xdr:rowOff>
    </xdr:from>
    <xdr:to>
      <xdr:col>21</xdr:col>
      <xdr:colOff>19051</xdr:colOff>
      <xdr:row>66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82DBA9-4178-E2A8-BA9E-B10AAD9D2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9476" y="11753850"/>
          <a:ext cx="2133600" cy="914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108786</xdr:rowOff>
    </xdr:from>
    <xdr:to>
      <xdr:col>1</xdr:col>
      <xdr:colOff>2796212</xdr:colOff>
      <xdr:row>2</xdr:row>
      <xdr:rowOff>77513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F2C4C1-69F0-4887-899C-3777DCC64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786"/>
          <a:ext cx="2681912" cy="349727"/>
        </a:xfrm>
        <a:prstGeom prst="rect">
          <a:avLst/>
        </a:prstGeom>
      </xdr:spPr>
    </xdr:pic>
    <xdr:clientData/>
  </xdr:twoCellAnchor>
  <xdr:twoCellAnchor editAs="oneCell">
    <xdr:from>
      <xdr:col>1</xdr:col>
      <xdr:colOff>2834660</xdr:colOff>
      <xdr:row>0</xdr:row>
      <xdr:rowOff>76200</xdr:rowOff>
    </xdr:from>
    <xdr:to>
      <xdr:col>1</xdr:col>
      <xdr:colOff>3261147</xdr:colOff>
      <xdr:row>2</xdr:row>
      <xdr:rowOff>128648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344F83-2F6E-4171-A7C5-007970D70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0410" y="76200"/>
          <a:ext cx="426487" cy="433448"/>
        </a:xfrm>
        <a:prstGeom prst="rect">
          <a:avLst/>
        </a:prstGeom>
      </xdr:spPr>
    </xdr:pic>
    <xdr:clientData/>
  </xdr:twoCellAnchor>
  <xdr:twoCellAnchor editAs="oneCell">
    <xdr:from>
      <xdr:col>1</xdr:col>
      <xdr:colOff>3322305</xdr:colOff>
      <xdr:row>1</xdr:row>
      <xdr:rowOff>986</xdr:rowOff>
    </xdr:from>
    <xdr:to>
      <xdr:col>2</xdr:col>
      <xdr:colOff>179826</xdr:colOff>
      <xdr:row>2</xdr:row>
      <xdr:rowOff>50075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582932-1E56-4A8A-B43C-01495CC2CD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652" t="57049" r="33544" b="23935"/>
        <a:stretch/>
      </xdr:blipFill>
      <xdr:spPr>
        <a:xfrm>
          <a:off x="3608055" y="191486"/>
          <a:ext cx="400821" cy="239589"/>
        </a:xfrm>
        <a:prstGeom prst="rect">
          <a:avLst/>
        </a:prstGeom>
      </xdr:spPr>
    </xdr:pic>
    <xdr:clientData/>
  </xdr:twoCellAnchor>
  <xdr:twoCellAnchor>
    <xdr:from>
      <xdr:col>1</xdr:col>
      <xdr:colOff>2866888</xdr:colOff>
      <xdr:row>0</xdr:row>
      <xdr:rowOff>77117</xdr:rowOff>
    </xdr:from>
    <xdr:to>
      <xdr:col>1</xdr:col>
      <xdr:colOff>2866888</xdr:colOff>
      <xdr:row>2</xdr:row>
      <xdr:rowOff>107546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63E218F-9616-4B22-BAEE-8E88CDFF3E0A}"/>
            </a:ext>
          </a:extLst>
        </xdr:cNvPr>
        <xdr:cNvCxnSpPr/>
      </xdr:nvCxnSpPr>
      <xdr:spPr>
        <a:xfrm>
          <a:off x="3152638" y="77117"/>
          <a:ext cx="0" cy="411429"/>
        </a:xfrm>
        <a:prstGeom prst="line">
          <a:avLst/>
        </a:prstGeom>
        <a:ln w="12700">
          <a:solidFill>
            <a:srgbClr val="008A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81643</xdr:colOff>
      <xdr:row>0</xdr:row>
      <xdr:rowOff>110146</xdr:rowOff>
    </xdr:from>
    <xdr:ext cx="2675099" cy="350053"/>
    <xdr:pic>
      <xdr:nvPicPr>
        <xdr:cNvPr id="2" name="Picture 1">
          <a:extLst>
            <a:ext uri="{FF2B5EF4-FFF2-40B4-BE49-F238E27FC236}">
              <a16:creationId xmlns:a16="http://schemas.microsoft.com/office/drawing/2014/main" id="{5C760511-32F2-4447-BF79-CBECAAB0F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3" y="110146"/>
          <a:ext cx="2675099" cy="350053"/>
        </a:xfrm>
        <a:prstGeom prst="rect">
          <a:avLst/>
        </a:prstGeom>
      </xdr:spPr>
    </xdr:pic>
    <xdr:clientData/>
  </xdr:oneCellAnchor>
  <xdr:oneCellAnchor>
    <xdr:from>
      <xdr:col>1</xdr:col>
      <xdr:colOff>2932768</xdr:colOff>
      <xdr:row>0</xdr:row>
      <xdr:rowOff>76200</xdr:rowOff>
    </xdr:from>
    <xdr:ext cx="428211" cy="433774"/>
    <xdr:pic>
      <xdr:nvPicPr>
        <xdr:cNvPr id="3" name="Picture 2">
          <a:extLst>
            <a:ext uri="{FF2B5EF4-FFF2-40B4-BE49-F238E27FC236}">
              <a16:creationId xmlns:a16="http://schemas.microsoft.com/office/drawing/2014/main" id="{BBB4D1DD-09D7-4D0D-9705-28CBDDF0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268" y="76200"/>
          <a:ext cx="428211" cy="433774"/>
        </a:xfrm>
        <a:prstGeom prst="rect">
          <a:avLst/>
        </a:prstGeom>
      </xdr:spPr>
    </xdr:pic>
    <xdr:clientData/>
  </xdr:oneCellAnchor>
  <xdr:oneCellAnchor>
    <xdr:from>
      <xdr:col>2</xdr:col>
      <xdr:colOff>220856</xdr:colOff>
      <xdr:row>0</xdr:row>
      <xdr:rowOff>172436</xdr:rowOff>
    </xdr:from>
    <xdr:ext cx="396455" cy="239915"/>
    <xdr:pic>
      <xdr:nvPicPr>
        <xdr:cNvPr id="4" name="Picture 3">
          <a:extLst>
            <a:ext uri="{FF2B5EF4-FFF2-40B4-BE49-F238E27FC236}">
              <a16:creationId xmlns:a16="http://schemas.microsoft.com/office/drawing/2014/main" id="{5BDC3411-2527-4F09-BD1E-315C3A6DC8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652" t="57049" r="33544" b="23935"/>
        <a:stretch/>
      </xdr:blipFill>
      <xdr:spPr>
        <a:xfrm>
          <a:off x="1440056" y="172436"/>
          <a:ext cx="396455" cy="239915"/>
        </a:xfrm>
        <a:prstGeom prst="rect">
          <a:avLst/>
        </a:prstGeom>
      </xdr:spPr>
    </xdr:pic>
    <xdr:clientData/>
  </xdr:oneCellAnchor>
  <xdr:twoCellAnchor>
    <xdr:from>
      <xdr:col>1</xdr:col>
      <xdr:colOff>2876550</xdr:colOff>
      <xdr:row>0</xdr:row>
      <xdr:rowOff>77117</xdr:rowOff>
    </xdr:from>
    <xdr:to>
      <xdr:col>1</xdr:col>
      <xdr:colOff>2876550</xdr:colOff>
      <xdr:row>2</xdr:row>
      <xdr:rowOff>107872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D212155-CAEA-4757-A859-C3324A126E02}"/>
            </a:ext>
          </a:extLst>
        </xdr:cNvPr>
        <xdr:cNvCxnSpPr/>
      </xdr:nvCxnSpPr>
      <xdr:spPr>
        <a:xfrm>
          <a:off x="1219200" y="77117"/>
          <a:ext cx="0" cy="411755"/>
        </a:xfrm>
        <a:prstGeom prst="line">
          <a:avLst/>
        </a:prstGeom>
        <a:ln w="12700">
          <a:solidFill>
            <a:srgbClr val="008A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81643</xdr:colOff>
      <xdr:row>0</xdr:row>
      <xdr:rowOff>110146</xdr:rowOff>
    </xdr:from>
    <xdr:ext cx="2678762" cy="350053"/>
    <xdr:pic>
      <xdr:nvPicPr>
        <xdr:cNvPr id="2" name="Picture 1">
          <a:extLst>
            <a:ext uri="{FF2B5EF4-FFF2-40B4-BE49-F238E27FC236}">
              <a16:creationId xmlns:a16="http://schemas.microsoft.com/office/drawing/2014/main" id="{B176109A-22FA-423C-BF78-BF0A0A0E3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3" y="110146"/>
          <a:ext cx="2678762" cy="350053"/>
        </a:xfrm>
        <a:prstGeom prst="rect">
          <a:avLst/>
        </a:prstGeom>
      </xdr:spPr>
    </xdr:pic>
    <xdr:clientData/>
  </xdr:oneCellAnchor>
  <xdr:oneCellAnchor>
    <xdr:from>
      <xdr:col>1</xdr:col>
      <xdr:colOff>2932768</xdr:colOff>
      <xdr:row>0</xdr:row>
      <xdr:rowOff>76200</xdr:rowOff>
    </xdr:from>
    <xdr:ext cx="427479" cy="433774"/>
    <xdr:pic>
      <xdr:nvPicPr>
        <xdr:cNvPr id="3" name="Picture 2">
          <a:extLst>
            <a:ext uri="{FF2B5EF4-FFF2-40B4-BE49-F238E27FC236}">
              <a16:creationId xmlns:a16="http://schemas.microsoft.com/office/drawing/2014/main" id="{F3848ED9-7026-4E3C-B1CC-1E1123286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268" y="76200"/>
          <a:ext cx="427479" cy="433774"/>
        </a:xfrm>
        <a:prstGeom prst="rect">
          <a:avLst/>
        </a:prstGeom>
      </xdr:spPr>
    </xdr:pic>
    <xdr:clientData/>
  </xdr:oneCellAnchor>
  <xdr:oneCellAnchor>
    <xdr:from>
      <xdr:col>2</xdr:col>
      <xdr:colOff>220856</xdr:colOff>
      <xdr:row>0</xdr:row>
      <xdr:rowOff>172436</xdr:rowOff>
    </xdr:from>
    <xdr:ext cx="396455" cy="239915"/>
    <xdr:pic>
      <xdr:nvPicPr>
        <xdr:cNvPr id="4" name="Picture 3">
          <a:extLst>
            <a:ext uri="{FF2B5EF4-FFF2-40B4-BE49-F238E27FC236}">
              <a16:creationId xmlns:a16="http://schemas.microsoft.com/office/drawing/2014/main" id="{F17E1E8B-4C4B-4D32-A1E0-532D3E5D44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652" t="57049" r="33544" b="23935"/>
        <a:stretch/>
      </xdr:blipFill>
      <xdr:spPr>
        <a:xfrm>
          <a:off x="1440056" y="172436"/>
          <a:ext cx="396455" cy="239915"/>
        </a:xfrm>
        <a:prstGeom prst="rect">
          <a:avLst/>
        </a:prstGeom>
      </xdr:spPr>
    </xdr:pic>
    <xdr:clientData/>
  </xdr:oneCellAnchor>
  <xdr:twoCellAnchor>
    <xdr:from>
      <xdr:col>1</xdr:col>
      <xdr:colOff>2876550</xdr:colOff>
      <xdr:row>0</xdr:row>
      <xdr:rowOff>77117</xdr:rowOff>
    </xdr:from>
    <xdr:to>
      <xdr:col>1</xdr:col>
      <xdr:colOff>2876550</xdr:colOff>
      <xdr:row>2</xdr:row>
      <xdr:rowOff>107872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8154089-CA2F-4838-A630-ABD7353A6958}"/>
            </a:ext>
          </a:extLst>
        </xdr:cNvPr>
        <xdr:cNvCxnSpPr/>
      </xdr:nvCxnSpPr>
      <xdr:spPr>
        <a:xfrm>
          <a:off x="1219200" y="77117"/>
          <a:ext cx="0" cy="411755"/>
        </a:xfrm>
        <a:prstGeom prst="line">
          <a:avLst/>
        </a:prstGeom>
        <a:ln w="12700">
          <a:solidFill>
            <a:srgbClr val="008A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81643</xdr:colOff>
      <xdr:row>0</xdr:row>
      <xdr:rowOff>110146</xdr:rowOff>
    </xdr:from>
    <xdr:to>
      <xdr:col>1</xdr:col>
      <xdr:colOff>2571957</xdr:colOff>
      <xdr:row>2</xdr:row>
      <xdr:rowOff>79199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B2859-3E9B-4D3B-8B14-C11FD0626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3" y="110146"/>
          <a:ext cx="2675099" cy="35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2780222</xdr:colOff>
      <xdr:row>0</xdr:row>
      <xdr:rowOff>81642</xdr:rowOff>
    </xdr:from>
    <xdr:to>
      <xdr:col>1</xdr:col>
      <xdr:colOff>3219863</xdr:colOff>
      <xdr:row>2</xdr:row>
      <xdr:rowOff>134416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0D40E9-B06F-4950-97A1-A2B39045F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247" y="81642"/>
          <a:ext cx="428211" cy="433774"/>
        </a:xfrm>
        <a:prstGeom prst="rect">
          <a:avLst/>
        </a:prstGeom>
      </xdr:spPr>
    </xdr:pic>
    <xdr:clientData/>
  </xdr:twoCellAnchor>
  <xdr:twoCellAnchor editAs="oneCell">
    <xdr:from>
      <xdr:col>1</xdr:col>
      <xdr:colOff>3182985</xdr:colOff>
      <xdr:row>0</xdr:row>
      <xdr:rowOff>177878</xdr:rowOff>
    </xdr:from>
    <xdr:to>
      <xdr:col>1</xdr:col>
      <xdr:colOff>3579440</xdr:colOff>
      <xdr:row>2</xdr:row>
      <xdr:rowOff>36793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B7B1FF-A1A0-4E6A-B821-908D267855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652" t="57049" r="33544" b="23935"/>
        <a:stretch/>
      </xdr:blipFill>
      <xdr:spPr>
        <a:xfrm>
          <a:off x="3383010" y="177878"/>
          <a:ext cx="396455" cy="239915"/>
        </a:xfrm>
        <a:prstGeom prst="rect">
          <a:avLst/>
        </a:prstGeom>
      </xdr:spPr>
    </xdr:pic>
    <xdr:clientData/>
  </xdr:twoCellAnchor>
  <xdr:twoCellAnchor>
    <xdr:from>
      <xdr:col>1</xdr:col>
      <xdr:colOff>2724004</xdr:colOff>
      <xdr:row>0</xdr:row>
      <xdr:rowOff>82559</xdr:rowOff>
    </xdr:from>
    <xdr:to>
      <xdr:col>1</xdr:col>
      <xdr:colOff>2724004</xdr:colOff>
      <xdr:row>2</xdr:row>
      <xdr:rowOff>113314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462FCFB-C44D-42E0-B5C5-3B43EDF0200F}"/>
            </a:ext>
          </a:extLst>
        </xdr:cNvPr>
        <xdr:cNvCxnSpPr/>
      </xdr:nvCxnSpPr>
      <xdr:spPr>
        <a:xfrm>
          <a:off x="2924029" y="82559"/>
          <a:ext cx="0" cy="411755"/>
        </a:xfrm>
        <a:prstGeom prst="line">
          <a:avLst/>
        </a:prstGeom>
        <a:ln w="12700">
          <a:solidFill>
            <a:srgbClr val="008A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mgui\Downloads\Modelo%20Oncocl&#237;nicas%20-%20GMF%20Unicamp%20(Versao%20Base%2016%20Maio%202023).xlsx" TargetMode="External"/><Relationship Id="rId1" Type="http://schemas.openxmlformats.org/officeDocument/2006/relationships/externalLinkPath" Target="file:///C:\Users\gmgui\Downloads\Modelo%20Oncocl&#237;nicas%20-%20GMF%20Unicamp%20(Versao%20Base%2016%20Maio%202023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Downloads\Modelo%20(Preencher).xlsx" TargetMode="External"/><Relationship Id="rId1" Type="http://schemas.openxmlformats.org/officeDocument/2006/relationships/externalLinkPath" Target="file:///E:\Downloads\Modelo%20(Preencher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pedr\OneDrive\&#193;rea%20de%20Trabalho\Arquivos\GMF\GMF%202023\GMF%20Curso%20de%20F&#233;rias%202023\Modelo%20Oncocl&#237;nicas%20-%20GMF%20Unicamp%20(Versao%20Base%2016%20Maio%202023).xlsx" TargetMode="External"/><Relationship Id="rId1" Type="http://schemas.openxmlformats.org/officeDocument/2006/relationships/externalLinkPath" Target="file:///C:\Users\jpedr\OneDrive\&#193;rea%20de%20Trabalho\Arquivos\GMF\GMF%202023\GMF%20Curso%20de%20F&#233;rias%202023\Modelo%20Oncocl&#237;nicas%20-%20GMF%20Unicamp%20(Versao%20Base%2016%20Maio%202023)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Downloads\Modelo%20(vazio)%20-%20Aulas%2009%20e%2010.xlsx" TargetMode="External"/><Relationship Id="rId1" Type="http://schemas.openxmlformats.org/officeDocument/2006/relationships/externalLinkPath" Target="file:///E:\Downloads\Modelo%20(vazio)%20-%20Aulas%2009%20e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CF Analysis"/>
      <sheetName val="IS"/>
      <sheetName val="BS"/>
      <sheetName val="Scenario Analysis"/>
      <sheetName val="Build-Up"/>
      <sheetName val="IRR"/>
      <sheetName val="Discount Factor"/>
      <sheetName val="Beta"/>
      <sheetName val="Comparable Multiples"/>
      <sheetName val="CFS"/>
      <sheetName val="CapEx and D&amp;A"/>
      <sheetName val="Debt and Acquisitions Schedule"/>
      <sheetName val="Macro and Sector Data"/>
      <sheetName val="Porto JV"/>
      <sheetName val="Infos M&amp;As e CapEx feit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">
          <cell r="H14">
            <v>0.821712</v>
          </cell>
        </row>
        <row r="15">
          <cell r="H15">
            <v>5.3109999999999999</v>
          </cell>
        </row>
        <row r="16">
          <cell r="H16">
            <v>3.2090000000000001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CF Analysis"/>
      <sheetName val="Beta"/>
      <sheetName val="Discount Factor"/>
      <sheetName val="Non controlling Interest"/>
      <sheetName val="IS"/>
      <sheetName val="BS"/>
      <sheetName val="CFS"/>
      <sheetName val="Build-Up"/>
      <sheetName val="Capex and D&amp;A"/>
      <sheetName val="Debt and Acquisition Schedule"/>
      <sheetName val="Macro and Sector Data"/>
    </sheetNames>
    <sheetDataSet>
      <sheetData sheetId="0"/>
      <sheetData sheetId="1"/>
      <sheetData sheetId="2"/>
      <sheetData sheetId="3"/>
      <sheetData sheetId="4">
        <row r="32">
          <cell r="D32">
            <v>16.257000000000062</v>
          </cell>
          <cell r="E32">
            <v>-45.007999999999996</v>
          </cell>
          <cell r="F32">
            <v>-20.246399880000038</v>
          </cell>
          <cell r="G32">
            <v>-3.6789461917437993</v>
          </cell>
          <cell r="H32">
            <v>22.336645202288675</v>
          </cell>
          <cell r="I32">
            <v>-119.6666002239286</v>
          </cell>
          <cell r="J32">
            <v>-121.25530109338366</v>
          </cell>
          <cell r="K32">
            <v>6.5434146300000435</v>
          </cell>
          <cell r="L32">
            <v>-202.58888557000003</v>
          </cell>
          <cell r="M32">
            <v>150.77258114786704</v>
          </cell>
          <cell r="N32">
            <v>22.844331858290616</v>
          </cell>
          <cell r="O32">
            <v>-22.428557933842526</v>
          </cell>
          <cell r="P32">
            <v>-15.58957981053382</v>
          </cell>
          <cell r="Q32">
            <v>-24.589336091478025</v>
          </cell>
          <cell r="R32">
            <v>56.991605062011992</v>
          </cell>
          <cell r="S32">
            <v>96.912000000000063</v>
          </cell>
          <cell r="T32">
            <v>113.72468916000055</v>
          </cell>
          <cell r="U32">
            <v>41.22999999999999</v>
          </cell>
        </row>
      </sheetData>
      <sheetData sheetId="5">
        <row r="55">
          <cell r="Q55">
            <v>3846.6570000000002</v>
          </cell>
        </row>
      </sheetData>
      <sheetData sheetId="6"/>
      <sheetData sheetId="7"/>
      <sheetData sheetId="8"/>
      <sheetData sheetId="9">
        <row r="5">
          <cell r="E5">
            <v>64.296000000000006</v>
          </cell>
        </row>
        <row r="6">
          <cell r="E6">
            <v>710.52300000000002</v>
          </cell>
        </row>
        <row r="7">
          <cell r="E7">
            <v>499.11</v>
          </cell>
        </row>
        <row r="8">
          <cell r="E8">
            <v>366.77100000000002</v>
          </cell>
        </row>
        <row r="9">
          <cell r="E9">
            <v>55.253</v>
          </cell>
        </row>
        <row r="10">
          <cell r="E10">
            <v>1791.68</v>
          </cell>
        </row>
      </sheetData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CF Analysis"/>
      <sheetName val="IS"/>
      <sheetName val="BS"/>
      <sheetName val="Scenario Analysis"/>
      <sheetName val="Build-Up"/>
      <sheetName val="IRR"/>
      <sheetName val="Discount Factor"/>
      <sheetName val="Beta"/>
      <sheetName val="Comparable Multiples"/>
      <sheetName val="CFS"/>
      <sheetName val="CapEx and D&amp;A"/>
      <sheetName val="Debt and Acquisitions Schedule"/>
      <sheetName val="Macro and Sector Data"/>
      <sheetName val="Porto JV"/>
      <sheetName val="Infos M&amp;As e CapEx feitos"/>
    </sheetNames>
    <sheetDataSet>
      <sheetData sheetId="0"/>
      <sheetData sheetId="1">
        <row r="17">
          <cell r="F17">
            <v>-71.8</v>
          </cell>
          <cell r="G17">
            <v>-76.003146131743762</v>
          </cell>
          <cell r="H17">
            <v>-78.727383429407524</v>
          </cell>
          <cell r="I17">
            <v>-74.299899888647658</v>
          </cell>
        </row>
        <row r="18">
          <cell r="F18">
            <v>-11.6</v>
          </cell>
          <cell r="G18">
            <v>-9.7249999999999996</v>
          </cell>
          <cell r="H18">
            <v>-11.550938970948806</v>
          </cell>
          <cell r="I18">
            <v>-10.780101214568935</v>
          </cell>
        </row>
        <row r="19">
          <cell r="F19">
            <v>-14.990399879999984</v>
          </cell>
          <cell r="G19">
            <v>-16.846800060000007</v>
          </cell>
          <cell r="H19">
            <v>-3.1580323973549445</v>
          </cell>
          <cell r="I19">
            <v>-14.872307540712157</v>
          </cell>
        </row>
        <row r="31">
          <cell r="T31">
            <v>728.81953262000059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"/>
      <sheetName val="BS"/>
      <sheetName val="CFS"/>
      <sheetName val="Build-Up"/>
      <sheetName val="Capex and D&amp;A"/>
      <sheetName val="Debt and Acquisition Schedule"/>
      <sheetName val="Macro and Sector Data"/>
    </sheetNames>
    <sheetDataSet>
      <sheetData sheetId="0">
        <row r="21">
          <cell r="U21">
            <v>60.3</v>
          </cell>
        </row>
        <row r="24">
          <cell r="U24">
            <v>-175.739</v>
          </cell>
        </row>
        <row r="27">
          <cell r="U27">
            <v>41.936</v>
          </cell>
        </row>
      </sheetData>
      <sheetData sheetId="1">
        <row r="15">
          <cell r="K15">
            <v>477.916</v>
          </cell>
          <cell r="L15">
            <v>579.779</v>
          </cell>
          <cell r="M15">
            <v>599.77</v>
          </cell>
          <cell r="N15">
            <v>673.16700000000003</v>
          </cell>
          <cell r="P15">
            <v>706.78300000000002</v>
          </cell>
          <cell r="Q15">
            <v>718.88599999999997</v>
          </cell>
          <cell r="R15"/>
          <cell r="S15"/>
        </row>
        <row r="16">
          <cell r="P16">
            <v>3914.4639999999999</v>
          </cell>
          <cell r="Q16">
            <v>3979.82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fernie/onco3_modeling.gi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pages.stern.nyu.edu/~adamodar/New_Home_Page/datafile/ctryprem.html" TargetMode="External"/><Relationship Id="rId1" Type="http://schemas.openxmlformats.org/officeDocument/2006/relationships/hyperlink" Target="https://www.cnbc.com/quotes/US10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8960-66D8-4E2B-90CD-CE9521E22BA2}">
  <sheetPr>
    <tabColor rgb="FF00D2C8"/>
  </sheetPr>
  <dimension ref="B2:O35"/>
  <sheetViews>
    <sheetView showGridLines="0" zoomScaleNormal="100" workbookViewId="0">
      <selection activeCell="C3" sqref="C3"/>
    </sheetView>
  </sheetViews>
  <sheetFormatPr defaultRowHeight="14.4"/>
  <cols>
    <col min="1" max="1" width="4.33203125" customWidth="1"/>
    <col min="2" max="2" width="9.109375" customWidth="1"/>
    <col min="3" max="15" width="9.88671875" bestFit="1" customWidth="1"/>
  </cols>
  <sheetData>
    <row r="2" spans="2:15">
      <c r="B2" s="484" t="s">
        <v>555</v>
      </c>
      <c r="C2" s="483">
        <v>2</v>
      </c>
      <c r="E2" t="s">
        <v>232</v>
      </c>
    </row>
    <row r="3" spans="2:15">
      <c r="B3" s="481" t="str">
        <f>IF(C2=1,"Bear Case",IF(C2=2,"Base Case",IF(C2=3,"Bull Case")))</f>
        <v>Base Case</v>
      </c>
      <c r="C3" s="482"/>
    </row>
    <row r="4" spans="2:15" ht="15" thickBot="1"/>
    <row r="5" spans="2:15" ht="15.6">
      <c r="B5" s="500"/>
      <c r="C5" s="527" t="s">
        <v>572</v>
      </c>
      <c r="D5" s="527"/>
      <c r="E5" s="527"/>
      <c r="F5" s="527"/>
      <c r="G5" s="527"/>
      <c r="H5" s="527"/>
      <c r="I5" s="527"/>
      <c r="J5" s="527"/>
      <c r="K5" s="527"/>
      <c r="L5" s="527"/>
      <c r="M5" s="527"/>
      <c r="N5" s="527"/>
      <c r="O5" s="528"/>
    </row>
    <row r="6" spans="2:15" ht="15.6">
      <c r="B6" s="501"/>
      <c r="C6" s="502" t="s">
        <v>568</v>
      </c>
      <c r="D6" s="503" t="s">
        <v>567</v>
      </c>
      <c r="E6" s="503" t="s">
        <v>566</v>
      </c>
      <c r="F6" s="503" t="s">
        <v>565</v>
      </c>
      <c r="G6" s="503" t="s">
        <v>564</v>
      </c>
      <c r="H6" s="503" t="s">
        <v>563</v>
      </c>
      <c r="I6" s="503" t="s">
        <v>562</v>
      </c>
      <c r="J6" s="503" t="s">
        <v>561</v>
      </c>
      <c r="K6" s="503" t="s">
        <v>560</v>
      </c>
      <c r="L6" s="503" t="s">
        <v>559</v>
      </c>
      <c r="M6" s="503" t="s">
        <v>558</v>
      </c>
      <c r="N6" s="503" t="s">
        <v>557</v>
      </c>
      <c r="O6" s="504" t="s">
        <v>556</v>
      </c>
    </row>
    <row r="7" spans="2:15" ht="15.6">
      <c r="B7" s="501" t="s">
        <v>555</v>
      </c>
      <c r="C7" s="505">
        <f>C2</f>
        <v>2</v>
      </c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506"/>
    </row>
    <row r="8" spans="2:15" ht="15.6">
      <c r="B8" s="501" t="s">
        <v>554</v>
      </c>
      <c r="C8" s="507">
        <f>C9-5</f>
        <v>1</v>
      </c>
      <c r="D8" s="507">
        <f t="shared" ref="D8:O8" si="0">D9-5</f>
        <v>1</v>
      </c>
      <c r="E8" s="507">
        <f t="shared" si="0"/>
        <v>1</v>
      </c>
      <c r="F8" s="507">
        <f t="shared" si="0"/>
        <v>15</v>
      </c>
      <c r="G8" s="507">
        <f t="shared" si="0"/>
        <v>10</v>
      </c>
      <c r="H8" s="507">
        <f t="shared" si="0"/>
        <v>5</v>
      </c>
      <c r="I8" s="507">
        <f t="shared" si="0"/>
        <v>0</v>
      </c>
      <c r="J8" s="507">
        <f t="shared" si="0"/>
        <v>0</v>
      </c>
      <c r="K8" s="507">
        <f t="shared" si="0"/>
        <v>0</v>
      </c>
      <c r="L8" s="507">
        <f t="shared" si="0"/>
        <v>0</v>
      </c>
      <c r="M8" s="507">
        <f t="shared" si="0"/>
        <v>0</v>
      </c>
      <c r="N8" s="507">
        <f t="shared" si="0"/>
        <v>0</v>
      </c>
      <c r="O8" s="508">
        <f t="shared" si="0"/>
        <v>0</v>
      </c>
    </row>
    <row r="9" spans="2:15" ht="15.6">
      <c r="B9" s="501" t="s">
        <v>553</v>
      </c>
      <c r="C9" s="509">
        <v>6</v>
      </c>
      <c r="D9" s="509">
        <v>6</v>
      </c>
      <c r="E9" s="509">
        <v>6</v>
      </c>
      <c r="F9" s="509">
        <v>20</v>
      </c>
      <c r="G9" s="509">
        <v>15</v>
      </c>
      <c r="H9" s="509">
        <v>10</v>
      </c>
      <c r="I9" s="509">
        <v>5</v>
      </c>
      <c r="J9" s="509">
        <v>5</v>
      </c>
      <c r="K9" s="509">
        <v>5</v>
      </c>
      <c r="L9" s="509">
        <v>5</v>
      </c>
      <c r="M9" s="509">
        <v>5</v>
      </c>
      <c r="N9" s="509">
        <v>5</v>
      </c>
      <c r="O9" s="510">
        <v>5</v>
      </c>
    </row>
    <row r="10" spans="2:15" ht="15.6">
      <c r="B10" s="501" t="s">
        <v>552</v>
      </c>
      <c r="C10" s="509">
        <f>C9+5</f>
        <v>11</v>
      </c>
      <c r="D10" s="509">
        <f t="shared" ref="D10:O10" si="1">D9+5</f>
        <v>11</v>
      </c>
      <c r="E10" s="509">
        <f t="shared" si="1"/>
        <v>11</v>
      </c>
      <c r="F10" s="509">
        <f t="shared" si="1"/>
        <v>25</v>
      </c>
      <c r="G10" s="509">
        <f t="shared" si="1"/>
        <v>20</v>
      </c>
      <c r="H10" s="509">
        <f t="shared" si="1"/>
        <v>15</v>
      </c>
      <c r="I10" s="509">
        <f t="shared" si="1"/>
        <v>10</v>
      </c>
      <c r="J10" s="509">
        <f t="shared" si="1"/>
        <v>10</v>
      </c>
      <c r="K10" s="509">
        <f t="shared" si="1"/>
        <v>10</v>
      </c>
      <c r="L10" s="509">
        <f t="shared" si="1"/>
        <v>10</v>
      </c>
      <c r="M10" s="509">
        <f t="shared" si="1"/>
        <v>10</v>
      </c>
      <c r="N10" s="509">
        <f t="shared" si="1"/>
        <v>10</v>
      </c>
      <c r="O10" s="510">
        <f t="shared" si="1"/>
        <v>10</v>
      </c>
    </row>
    <row r="11" spans="2:15" ht="16.2" thickBot="1">
      <c r="B11" s="511" t="s">
        <v>551</v>
      </c>
      <c r="C11" s="512">
        <f>CHOOSE($C$7,C8,C9,C10)</f>
        <v>6</v>
      </c>
      <c r="D11" s="512">
        <f t="shared" ref="D11:O11" si="2">CHOOSE($C$7,D8,D9,D10)</f>
        <v>6</v>
      </c>
      <c r="E11" s="512">
        <f t="shared" si="2"/>
        <v>6</v>
      </c>
      <c r="F11" s="512">
        <f t="shared" si="2"/>
        <v>20</v>
      </c>
      <c r="G11" s="512">
        <f t="shared" si="2"/>
        <v>15</v>
      </c>
      <c r="H11" s="512">
        <f t="shared" si="2"/>
        <v>10</v>
      </c>
      <c r="I11" s="512">
        <f t="shared" si="2"/>
        <v>5</v>
      </c>
      <c r="J11" s="512">
        <f t="shared" si="2"/>
        <v>5</v>
      </c>
      <c r="K11" s="512">
        <f t="shared" si="2"/>
        <v>5</v>
      </c>
      <c r="L11" s="512">
        <f t="shared" si="2"/>
        <v>5</v>
      </c>
      <c r="M11" s="512">
        <f t="shared" si="2"/>
        <v>5</v>
      </c>
      <c r="N11" s="512">
        <f t="shared" si="2"/>
        <v>5</v>
      </c>
      <c r="O11" s="513">
        <f t="shared" si="2"/>
        <v>5</v>
      </c>
    </row>
    <row r="12" spans="2:15" ht="16.2" thickBot="1"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</row>
    <row r="13" spans="2:15" ht="15.6">
      <c r="B13" s="500"/>
      <c r="C13" s="527" t="s">
        <v>571</v>
      </c>
      <c r="D13" s="527"/>
      <c r="E13" s="527"/>
      <c r="F13" s="527"/>
      <c r="G13" s="527"/>
      <c r="H13" s="527"/>
      <c r="I13" s="527"/>
      <c r="J13" s="527"/>
      <c r="K13" s="527"/>
      <c r="L13" s="527"/>
      <c r="M13" s="527"/>
      <c r="N13" s="527"/>
      <c r="O13" s="528"/>
    </row>
    <row r="14" spans="2:15" ht="15.6">
      <c r="B14" s="501"/>
      <c r="C14" s="502" t="s">
        <v>568</v>
      </c>
      <c r="D14" s="503" t="s">
        <v>567</v>
      </c>
      <c r="E14" s="503" t="s">
        <v>566</v>
      </c>
      <c r="F14" s="503" t="s">
        <v>565</v>
      </c>
      <c r="G14" s="503" t="s">
        <v>564</v>
      </c>
      <c r="H14" s="503" t="s">
        <v>563</v>
      </c>
      <c r="I14" s="503" t="s">
        <v>562</v>
      </c>
      <c r="J14" s="503" t="s">
        <v>561</v>
      </c>
      <c r="K14" s="503" t="s">
        <v>560</v>
      </c>
      <c r="L14" s="503" t="s">
        <v>559</v>
      </c>
      <c r="M14" s="503" t="s">
        <v>558</v>
      </c>
      <c r="N14" s="503" t="s">
        <v>557</v>
      </c>
      <c r="O14" s="504" t="s">
        <v>556</v>
      </c>
    </row>
    <row r="15" spans="2:15" ht="15.6">
      <c r="B15" s="501" t="s">
        <v>555</v>
      </c>
      <c r="C15" s="505">
        <f>C2</f>
        <v>2</v>
      </c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506"/>
    </row>
    <row r="16" spans="2:15" ht="15.6">
      <c r="B16" s="501" t="s">
        <v>554</v>
      </c>
      <c r="C16" s="514">
        <f>C17-2</f>
        <v>8.6020000000000003</v>
      </c>
      <c r="D16" s="514">
        <f t="shared" ref="D16:O16" si="3">D17-2</f>
        <v>8.6020000000000003</v>
      </c>
      <c r="E16" s="514">
        <f t="shared" si="3"/>
        <v>8.6020000000000003</v>
      </c>
      <c r="F16" s="514">
        <f t="shared" si="3"/>
        <v>8.6020000000000003</v>
      </c>
      <c r="G16" s="514">
        <f t="shared" si="3"/>
        <v>9.0430432000000014</v>
      </c>
      <c r="H16" s="514">
        <f t="shared" si="3"/>
        <v>9.4847649280000024</v>
      </c>
      <c r="I16" s="514">
        <f t="shared" si="3"/>
        <v>9.9441555251200029</v>
      </c>
      <c r="J16" s="514">
        <f t="shared" si="3"/>
        <v>10.421921746124804</v>
      </c>
      <c r="K16" s="514">
        <f t="shared" si="3"/>
        <v>10.918798615969797</v>
      </c>
      <c r="L16" s="514">
        <f t="shared" si="3"/>
        <v>11.43555056060859</v>
      </c>
      <c r="M16" s="514">
        <f t="shared" si="3"/>
        <v>11.972972583032934</v>
      </c>
      <c r="N16" s="514">
        <f t="shared" si="3"/>
        <v>12.531891486354253</v>
      </c>
      <c r="O16" s="515">
        <f t="shared" si="3"/>
        <v>13.113167145808424</v>
      </c>
    </row>
    <row r="17" spans="2:15" ht="15.6">
      <c r="B17" s="501" t="s">
        <v>553</v>
      </c>
      <c r="C17" s="516">
        <v>10.602</v>
      </c>
      <c r="D17" s="516">
        <v>10.602</v>
      </c>
      <c r="E17" s="516">
        <v>10.602</v>
      </c>
      <c r="F17" s="516">
        <v>10.602</v>
      </c>
      <c r="G17" s="516">
        <v>11.043043200000001</v>
      </c>
      <c r="H17" s="516">
        <v>11.484764928000002</v>
      </c>
      <c r="I17" s="516">
        <v>11.944155525120003</v>
      </c>
      <c r="J17" s="516">
        <v>12.421921746124804</v>
      </c>
      <c r="K17" s="516">
        <v>12.918798615969797</v>
      </c>
      <c r="L17" s="516">
        <v>13.43555056060859</v>
      </c>
      <c r="M17" s="516">
        <v>13.972972583032934</v>
      </c>
      <c r="N17" s="516">
        <v>14.531891486354253</v>
      </c>
      <c r="O17" s="517">
        <v>15.113167145808424</v>
      </c>
    </row>
    <row r="18" spans="2:15" ht="15.6">
      <c r="B18" s="501" t="s">
        <v>552</v>
      </c>
      <c r="C18" s="516">
        <f>C17+2</f>
        <v>12.602</v>
      </c>
      <c r="D18" s="516">
        <f t="shared" ref="D18:O18" si="4">D17+2</f>
        <v>12.602</v>
      </c>
      <c r="E18" s="516">
        <f t="shared" si="4"/>
        <v>12.602</v>
      </c>
      <c r="F18" s="516">
        <f t="shared" si="4"/>
        <v>12.602</v>
      </c>
      <c r="G18" s="516">
        <f t="shared" si="4"/>
        <v>13.043043200000001</v>
      </c>
      <c r="H18" s="516">
        <f t="shared" si="4"/>
        <v>13.484764928000002</v>
      </c>
      <c r="I18" s="516">
        <f t="shared" si="4"/>
        <v>13.944155525120003</v>
      </c>
      <c r="J18" s="516">
        <f t="shared" si="4"/>
        <v>14.421921746124804</v>
      </c>
      <c r="K18" s="516">
        <f t="shared" si="4"/>
        <v>14.918798615969797</v>
      </c>
      <c r="L18" s="516">
        <f t="shared" si="4"/>
        <v>15.43555056060859</v>
      </c>
      <c r="M18" s="516">
        <f t="shared" si="4"/>
        <v>15.972972583032934</v>
      </c>
      <c r="N18" s="516">
        <f t="shared" si="4"/>
        <v>16.531891486354255</v>
      </c>
      <c r="O18" s="517">
        <f t="shared" si="4"/>
        <v>17.113167145808426</v>
      </c>
    </row>
    <row r="19" spans="2:15" ht="16.2" thickBot="1">
      <c r="B19" s="511" t="s">
        <v>551</v>
      </c>
      <c r="C19" s="518">
        <f>CHOOSE($C$15,C16,C17,C18)</f>
        <v>10.602</v>
      </c>
      <c r="D19" s="518">
        <f t="shared" ref="D19:O19" si="5">CHOOSE($C$15,D16,D17,D18)</f>
        <v>10.602</v>
      </c>
      <c r="E19" s="518">
        <f t="shared" si="5"/>
        <v>10.602</v>
      </c>
      <c r="F19" s="518">
        <f t="shared" si="5"/>
        <v>10.602</v>
      </c>
      <c r="G19" s="518">
        <f t="shared" si="5"/>
        <v>11.043043200000001</v>
      </c>
      <c r="H19" s="518">
        <f t="shared" si="5"/>
        <v>11.484764928000002</v>
      </c>
      <c r="I19" s="518">
        <f t="shared" si="5"/>
        <v>11.944155525120003</v>
      </c>
      <c r="J19" s="518">
        <f t="shared" si="5"/>
        <v>12.421921746124804</v>
      </c>
      <c r="K19" s="518">
        <f t="shared" si="5"/>
        <v>12.918798615969797</v>
      </c>
      <c r="L19" s="518">
        <f t="shared" si="5"/>
        <v>13.43555056060859</v>
      </c>
      <c r="M19" s="518">
        <f t="shared" si="5"/>
        <v>13.972972583032934</v>
      </c>
      <c r="N19" s="518">
        <f t="shared" si="5"/>
        <v>14.531891486354253</v>
      </c>
      <c r="O19" s="519">
        <f t="shared" si="5"/>
        <v>15.113167145808424</v>
      </c>
    </row>
    <row r="20" spans="2:15" ht="16.2" thickBot="1">
      <c r="B20" s="185"/>
      <c r="C20" s="185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</row>
    <row r="21" spans="2:15" ht="15.6">
      <c r="B21" s="500"/>
      <c r="C21" s="527" t="s">
        <v>570</v>
      </c>
      <c r="D21" s="527"/>
      <c r="E21" s="527"/>
      <c r="F21" s="527"/>
      <c r="G21" s="527"/>
      <c r="H21" s="527"/>
      <c r="I21" s="527"/>
      <c r="J21" s="527"/>
      <c r="K21" s="527"/>
      <c r="L21" s="527"/>
      <c r="M21" s="527"/>
      <c r="N21" s="527"/>
      <c r="O21" s="528"/>
    </row>
    <row r="22" spans="2:15" ht="15.6">
      <c r="B22" s="520"/>
      <c r="C22" s="502" t="s">
        <v>568</v>
      </c>
      <c r="D22" s="503" t="s">
        <v>567</v>
      </c>
      <c r="E22" s="503" t="s">
        <v>566</v>
      </c>
      <c r="F22" s="503" t="s">
        <v>565</v>
      </c>
      <c r="G22" s="503" t="s">
        <v>564</v>
      </c>
      <c r="H22" s="503" t="s">
        <v>563</v>
      </c>
      <c r="I22" s="503" t="s">
        <v>562</v>
      </c>
      <c r="J22" s="503" t="s">
        <v>561</v>
      </c>
      <c r="K22" s="503" t="s">
        <v>560</v>
      </c>
      <c r="L22" s="503" t="s">
        <v>559</v>
      </c>
      <c r="M22" s="503" t="s">
        <v>558</v>
      </c>
      <c r="N22" s="503" t="s">
        <v>557</v>
      </c>
      <c r="O22" s="504" t="s">
        <v>556</v>
      </c>
    </row>
    <row r="23" spans="2:15" ht="15.6">
      <c r="B23" s="501" t="s">
        <v>555</v>
      </c>
      <c r="C23" s="505">
        <f>C2</f>
        <v>2</v>
      </c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506"/>
    </row>
    <row r="24" spans="2:15" ht="15.6">
      <c r="B24" s="501" t="s">
        <v>554</v>
      </c>
      <c r="C24" s="521">
        <f>C25-1000</f>
        <v>8035.1687711504128</v>
      </c>
      <c r="D24" s="521">
        <f t="shared" ref="D24:O24" si="6">D25-1000</f>
        <v>8200.4396989141042</v>
      </c>
      <c r="E24" s="521">
        <f t="shared" si="6"/>
        <v>8368.7337555485137</v>
      </c>
      <c r="F24" s="521">
        <f t="shared" si="6"/>
        <v>8129.1846328563042</v>
      </c>
      <c r="G24" s="521">
        <f t="shared" si="6"/>
        <v>8645.8964830759705</v>
      </c>
      <c r="H24" s="521">
        <f t="shared" si="6"/>
        <v>9176.420789645148</v>
      </c>
      <c r="I24" s="521">
        <f t="shared" si="6"/>
        <v>9736.1239330756307</v>
      </c>
      <c r="J24" s="521">
        <f t="shared" si="6"/>
        <v>10326.610749394789</v>
      </c>
      <c r="K24" s="521">
        <f t="shared" si="6"/>
        <v>10949.574340611502</v>
      </c>
      <c r="L24" s="521">
        <f t="shared" si="6"/>
        <v>11606.800929345134</v>
      </c>
      <c r="M24" s="521">
        <f t="shared" si="6"/>
        <v>12300.174980459116</v>
      </c>
      <c r="N24" s="521">
        <f t="shared" si="6"/>
        <v>13031.684604384367</v>
      </c>
      <c r="O24" s="522">
        <f t="shared" si="6"/>
        <v>13803.427257625506</v>
      </c>
    </row>
    <row r="25" spans="2:15" ht="15.6">
      <c r="B25" s="501" t="s">
        <v>553</v>
      </c>
      <c r="C25" s="523">
        <v>9035.1687711504128</v>
      </c>
      <c r="D25" s="523">
        <v>9200.4396989141042</v>
      </c>
      <c r="E25" s="523">
        <v>9368.7337555485137</v>
      </c>
      <c r="F25" s="523">
        <v>9129.1846328563042</v>
      </c>
      <c r="G25" s="523">
        <v>9645.8964830759705</v>
      </c>
      <c r="H25" s="523">
        <v>10176.420789645148</v>
      </c>
      <c r="I25" s="523">
        <v>10736.123933075631</v>
      </c>
      <c r="J25" s="523">
        <v>11326.610749394789</v>
      </c>
      <c r="K25" s="523">
        <v>11949.574340611502</v>
      </c>
      <c r="L25" s="523">
        <v>12606.800929345134</v>
      </c>
      <c r="M25" s="523">
        <v>13300.174980459116</v>
      </c>
      <c r="N25" s="523">
        <v>14031.684604384367</v>
      </c>
      <c r="O25" s="524">
        <v>14803.427257625506</v>
      </c>
    </row>
    <row r="26" spans="2:15" ht="15.6">
      <c r="B26" s="501" t="s">
        <v>552</v>
      </c>
      <c r="C26" s="523">
        <f>C25+1000</f>
        <v>10035.168771150413</v>
      </c>
      <c r="D26" s="523">
        <f t="shared" ref="D26:O26" si="7">D25+1000</f>
        <v>10200.439698914104</v>
      </c>
      <c r="E26" s="523">
        <f t="shared" si="7"/>
        <v>10368.733755548514</v>
      </c>
      <c r="F26" s="523">
        <f t="shared" si="7"/>
        <v>10129.184632856304</v>
      </c>
      <c r="G26" s="523">
        <f t="shared" si="7"/>
        <v>10645.896483075971</v>
      </c>
      <c r="H26" s="523">
        <f t="shared" si="7"/>
        <v>11176.420789645148</v>
      </c>
      <c r="I26" s="523">
        <f t="shared" si="7"/>
        <v>11736.123933075631</v>
      </c>
      <c r="J26" s="523">
        <f t="shared" si="7"/>
        <v>12326.610749394789</v>
      </c>
      <c r="K26" s="523">
        <f t="shared" si="7"/>
        <v>12949.574340611502</v>
      </c>
      <c r="L26" s="523">
        <f t="shared" si="7"/>
        <v>13606.800929345134</v>
      </c>
      <c r="M26" s="523">
        <f t="shared" si="7"/>
        <v>14300.174980459116</v>
      </c>
      <c r="N26" s="523">
        <f t="shared" si="7"/>
        <v>15031.684604384367</v>
      </c>
      <c r="O26" s="524">
        <f t="shared" si="7"/>
        <v>15803.427257625506</v>
      </c>
    </row>
    <row r="27" spans="2:15" ht="16.2" thickBot="1">
      <c r="B27" s="511" t="s">
        <v>551</v>
      </c>
      <c r="C27" s="525">
        <f>CHOOSE($C$23,C24,C25,C26)</f>
        <v>9035.1687711504128</v>
      </c>
      <c r="D27" s="525">
        <f t="shared" ref="D27:O27" si="8">CHOOSE($C$23,D24,D25,D26)</f>
        <v>9200.4396989141042</v>
      </c>
      <c r="E27" s="525">
        <f t="shared" si="8"/>
        <v>9368.7337555485137</v>
      </c>
      <c r="F27" s="525">
        <f t="shared" si="8"/>
        <v>9129.1846328563042</v>
      </c>
      <c r="G27" s="525">
        <f t="shared" si="8"/>
        <v>9645.8964830759705</v>
      </c>
      <c r="H27" s="525">
        <f t="shared" si="8"/>
        <v>10176.420789645148</v>
      </c>
      <c r="I27" s="525">
        <f t="shared" si="8"/>
        <v>10736.123933075631</v>
      </c>
      <c r="J27" s="525">
        <f t="shared" si="8"/>
        <v>11326.610749394789</v>
      </c>
      <c r="K27" s="525">
        <f t="shared" si="8"/>
        <v>11949.574340611502</v>
      </c>
      <c r="L27" s="525">
        <f t="shared" si="8"/>
        <v>12606.800929345134</v>
      </c>
      <c r="M27" s="525">
        <f t="shared" si="8"/>
        <v>13300.174980459116</v>
      </c>
      <c r="N27" s="525">
        <f t="shared" si="8"/>
        <v>14031.684604384367</v>
      </c>
      <c r="O27" s="526">
        <f t="shared" si="8"/>
        <v>14803.427257625506</v>
      </c>
    </row>
    <row r="28" spans="2:15" ht="16.2" thickBot="1">
      <c r="B28" s="185"/>
      <c r="C28" s="185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</row>
    <row r="29" spans="2:15" ht="15.6">
      <c r="B29" s="500"/>
      <c r="C29" s="527" t="s">
        <v>569</v>
      </c>
      <c r="D29" s="527"/>
      <c r="E29" s="527"/>
      <c r="F29" s="527"/>
      <c r="G29" s="527"/>
      <c r="H29" s="527"/>
      <c r="I29" s="527"/>
      <c r="J29" s="527"/>
      <c r="K29" s="527"/>
      <c r="L29" s="527"/>
      <c r="M29" s="527"/>
      <c r="N29" s="527"/>
      <c r="O29" s="528"/>
    </row>
    <row r="30" spans="2:15" ht="15.6">
      <c r="B30" s="520"/>
      <c r="C30" s="502" t="s">
        <v>568</v>
      </c>
      <c r="D30" s="503" t="s">
        <v>567</v>
      </c>
      <c r="E30" s="503" t="s">
        <v>566</v>
      </c>
      <c r="F30" s="503" t="s">
        <v>565</v>
      </c>
      <c r="G30" s="503" t="s">
        <v>564</v>
      </c>
      <c r="H30" s="503" t="s">
        <v>563</v>
      </c>
      <c r="I30" s="503" t="s">
        <v>562</v>
      </c>
      <c r="J30" s="503" t="s">
        <v>561</v>
      </c>
      <c r="K30" s="503" t="s">
        <v>560</v>
      </c>
      <c r="L30" s="503" t="s">
        <v>559</v>
      </c>
      <c r="M30" s="503" t="s">
        <v>558</v>
      </c>
      <c r="N30" s="503" t="s">
        <v>557</v>
      </c>
      <c r="O30" s="504" t="s">
        <v>556</v>
      </c>
    </row>
    <row r="31" spans="2:15" ht="15.6">
      <c r="B31" s="501" t="s">
        <v>555</v>
      </c>
      <c r="C31" s="505">
        <f>C2</f>
        <v>2</v>
      </c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506"/>
    </row>
    <row r="32" spans="2:15" ht="15.6">
      <c r="B32" s="501" t="s">
        <v>554</v>
      </c>
      <c r="C32" s="521">
        <f>C33-1500</f>
        <v>8688.8244453582174</v>
      </c>
      <c r="D32" s="521">
        <f t="shared" ref="D32:O32" si="9">D33-1500</f>
        <v>8887.2389564276455</v>
      </c>
      <c r="E32" s="521">
        <f t="shared" si="9"/>
        <v>9089.5173399598916</v>
      </c>
      <c r="F32" s="521">
        <f t="shared" si="9"/>
        <v>8791.1731900712439</v>
      </c>
      <c r="G32" s="521">
        <f t="shared" si="9"/>
        <v>9425.1094585796327</v>
      </c>
      <c r="H32" s="521">
        <f t="shared" si="9"/>
        <v>10080.616026094411</v>
      </c>
      <c r="I32" s="521">
        <f t="shared" si="9"/>
        <v>10775.452987660075</v>
      </c>
      <c r="J32" s="521">
        <f t="shared" si="9"/>
        <v>11511.98016691968</v>
      </c>
      <c r="K32" s="521">
        <f t="shared" si="9"/>
        <v>12292.698976934862</v>
      </c>
      <c r="L32" s="521">
        <f t="shared" si="9"/>
        <v>13120.260915550954</v>
      </c>
      <c r="M32" s="521">
        <f t="shared" si="9"/>
        <v>13997.476570484012</v>
      </c>
      <c r="N32" s="521">
        <f t="shared" si="9"/>
        <v>14927.325164713053</v>
      </c>
      <c r="O32" s="522">
        <f t="shared" si="9"/>
        <v>15912.964674595838</v>
      </c>
    </row>
    <row r="33" spans="2:15" ht="15.6">
      <c r="B33" s="501" t="s">
        <v>553</v>
      </c>
      <c r="C33" s="523">
        <v>10188.824445358217</v>
      </c>
      <c r="D33" s="523">
        <v>10387.238956427645</v>
      </c>
      <c r="E33" s="523">
        <v>10589.517339959892</v>
      </c>
      <c r="F33" s="523">
        <v>10291.173190071244</v>
      </c>
      <c r="G33" s="523">
        <v>10925.109458579633</v>
      </c>
      <c r="H33" s="523">
        <v>11580.616026094411</v>
      </c>
      <c r="I33" s="523">
        <v>12275.452987660075</v>
      </c>
      <c r="J33" s="523">
        <v>13011.98016691968</v>
      </c>
      <c r="K33" s="523">
        <v>13792.698976934862</v>
      </c>
      <c r="L33" s="523">
        <v>14620.260915550954</v>
      </c>
      <c r="M33" s="523">
        <v>15497.476570484012</v>
      </c>
      <c r="N33" s="523">
        <v>16427.325164713053</v>
      </c>
      <c r="O33" s="524">
        <v>17412.964674595838</v>
      </c>
    </row>
    <row r="34" spans="2:15" ht="15.6">
      <c r="B34" s="501" t="s">
        <v>552</v>
      </c>
      <c r="C34" s="523">
        <f>C33+1500</f>
        <v>11688.824445358217</v>
      </c>
      <c r="D34" s="523">
        <f t="shared" ref="D34:O34" si="10">D33+1500</f>
        <v>11887.238956427645</v>
      </c>
      <c r="E34" s="523">
        <f t="shared" si="10"/>
        <v>12089.517339959892</v>
      </c>
      <c r="F34" s="523">
        <f t="shared" si="10"/>
        <v>11791.173190071244</v>
      </c>
      <c r="G34" s="523">
        <f t="shared" si="10"/>
        <v>12425.109458579633</v>
      </c>
      <c r="H34" s="523">
        <f t="shared" si="10"/>
        <v>13080.616026094411</v>
      </c>
      <c r="I34" s="523">
        <f t="shared" si="10"/>
        <v>13775.452987660075</v>
      </c>
      <c r="J34" s="523">
        <f t="shared" si="10"/>
        <v>14511.98016691968</v>
      </c>
      <c r="K34" s="523">
        <f t="shared" si="10"/>
        <v>15292.698976934862</v>
      </c>
      <c r="L34" s="523">
        <f t="shared" si="10"/>
        <v>16120.260915550954</v>
      </c>
      <c r="M34" s="523">
        <f t="shared" si="10"/>
        <v>16997.47657048401</v>
      </c>
      <c r="N34" s="523">
        <f t="shared" si="10"/>
        <v>17927.325164713053</v>
      </c>
      <c r="O34" s="524">
        <f t="shared" si="10"/>
        <v>18912.964674595838</v>
      </c>
    </row>
    <row r="35" spans="2:15" ht="16.2" thickBot="1">
      <c r="B35" s="511" t="s">
        <v>551</v>
      </c>
      <c r="C35" s="525">
        <f>CHOOSE($C$31,C32,C33,C34)</f>
        <v>10188.824445358217</v>
      </c>
      <c r="D35" s="525">
        <f t="shared" ref="D35:O35" si="11">CHOOSE($C$31,D32,D33,D34)</f>
        <v>10387.238956427645</v>
      </c>
      <c r="E35" s="525">
        <f t="shared" si="11"/>
        <v>10589.517339959892</v>
      </c>
      <c r="F35" s="525">
        <f t="shared" si="11"/>
        <v>10291.173190071244</v>
      </c>
      <c r="G35" s="525">
        <f t="shared" si="11"/>
        <v>10925.109458579633</v>
      </c>
      <c r="H35" s="525">
        <f t="shared" si="11"/>
        <v>11580.616026094411</v>
      </c>
      <c r="I35" s="525">
        <f t="shared" si="11"/>
        <v>12275.452987660075</v>
      </c>
      <c r="J35" s="525">
        <f t="shared" si="11"/>
        <v>13011.98016691968</v>
      </c>
      <c r="K35" s="525">
        <f t="shared" si="11"/>
        <v>13792.698976934862</v>
      </c>
      <c r="L35" s="525">
        <f t="shared" si="11"/>
        <v>14620.260915550954</v>
      </c>
      <c r="M35" s="525">
        <f t="shared" si="11"/>
        <v>15497.476570484012</v>
      </c>
      <c r="N35" s="525">
        <f t="shared" si="11"/>
        <v>16427.325164713053</v>
      </c>
      <c r="O35" s="526">
        <f t="shared" si="11"/>
        <v>17412.964674595838</v>
      </c>
    </row>
  </sheetData>
  <sheetProtection selectLockedCells="1" selectUnlockedCells="1"/>
  <mergeCells count="4">
    <mergeCell ref="C5:O5"/>
    <mergeCell ref="C13:O13"/>
    <mergeCell ref="C21:O21"/>
    <mergeCell ref="C29:O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ED0F-DD9A-4ACA-9864-3D5169475BCF}">
  <sheetPr>
    <tabColor rgb="FF2FFFF5"/>
  </sheetPr>
  <dimension ref="A1:AM75"/>
  <sheetViews>
    <sheetView showGridLines="0" zoomScaleNormal="100" workbookViewId="0">
      <selection activeCell="G62" sqref="G62"/>
    </sheetView>
  </sheetViews>
  <sheetFormatPr defaultRowHeight="14.4"/>
  <cols>
    <col min="1" max="1" width="4.88671875" customWidth="1"/>
    <col min="2" max="2" width="33.88671875" bestFit="1" customWidth="1"/>
    <col min="3" max="3" width="16.6640625" bestFit="1" customWidth="1"/>
    <col min="5" max="5" width="15.33203125" bestFit="1" customWidth="1"/>
    <col min="6" max="6" width="15.33203125" customWidth="1"/>
    <col min="7" max="7" width="20.88671875" bestFit="1" customWidth="1"/>
    <col min="8" max="8" width="2.109375" customWidth="1"/>
    <col min="9" max="9" width="12.109375" bestFit="1" customWidth="1"/>
    <col min="10" max="11" width="10.109375" bestFit="1" customWidth="1"/>
    <col min="12" max="12" width="2.33203125" customWidth="1"/>
    <col min="13" max="15" width="10.109375" bestFit="1" customWidth="1"/>
    <col min="16" max="16" width="2" customWidth="1"/>
    <col min="17" max="18" width="9.33203125" bestFit="1" customWidth="1"/>
    <col min="19" max="19" width="8.88671875" customWidth="1"/>
    <col min="20" max="20" width="2" customWidth="1"/>
  </cols>
  <sheetData>
    <row r="1" spans="1:39">
      <c r="C1" s="441"/>
    </row>
    <row r="2" spans="1:39" ht="15.6">
      <c r="A2" s="480" t="s">
        <v>550</v>
      </c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V2" s="351"/>
      <c r="W2" s="351"/>
      <c r="X2" s="351"/>
      <c r="Y2" s="351"/>
      <c r="Z2" s="351"/>
      <c r="AA2" s="479" t="s">
        <v>549</v>
      </c>
      <c r="AB2" s="351"/>
      <c r="AC2" s="351"/>
      <c r="AD2" s="351"/>
      <c r="AE2" s="351"/>
      <c r="AF2" s="351"/>
    </row>
    <row r="3" spans="1:39">
      <c r="A3" s="475" t="s">
        <v>548</v>
      </c>
      <c r="B3" s="474"/>
      <c r="C3" s="474"/>
      <c r="D3" s="474"/>
      <c r="E3" s="474"/>
      <c r="F3" s="474"/>
      <c r="G3" s="474"/>
      <c r="H3" s="474"/>
      <c r="I3" s="474"/>
      <c r="J3" s="474"/>
      <c r="K3" s="474"/>
      <c r="L3" s="474"/>
      <c r="M3" s="474"/>
      <c r="N3" s="474"/>
      <c r="O3" s="474"/>
      <c r="P3" s="474"/>
      <c r="Q3" s="474"/>
      <c r="R3" s="474"/>
      <c r="S3" s="474"/>
      <c r="T3" s="474"/>
      <c r="V3" s="474"/>
      <c r="W3" s="474"/>
      <c r="X3" s="474"/>
      <c r="Y3" s="474"/>
      <c r="Z3" s="474"/>
      <c r="AA3" s="474"/>
      <c r="AB3" s="474"/>
      <c r="AC3" s="474"/>
      <c r="AD3" s="474"/>
      <c r="AE3" s="474"/>
      <c r="AF3" s="474"/>
    </row>
    <row r="4" spans="1:39">
      <c r="A4" s="531" t="s">
        <v>546</v>
      </c>
      <c r="B4" s="531"/>
      <c r="C4" s="363"/>
      <c r="D4" s="363"/>
      <c r="E4" s="363"/>
      <c r="F4" s="363"/>
      <c r="G4" s="363"/>
      <c r="H4" s="363"/>
      <c r="I4" s="529" t="s">
        <v>543</v>
      </c>
      <c r="J4" s="529"/>
      <c r="K4" s="529"/>
      <c r="L4" s="363"/>
      <c r="M4" s="529" t="s">
        <v>542</v>
      </c>
      <c r="N4" s="529"/>
      <c r="O4" s="529"/>
      <c r="P4" s="363"/>
      <c r="Q4" s="529" t="s">
        <v>541</v>
      </c>
      <c r="R4" s="529"/>
      <c r="S4" s="529"/>
      <c r="T4" s="363"/>
      <c r="V4" s="529" t="s">
        <v>543</v>
      </c>
      <c r="W4" s="529"/>
      <c r="X4" s="529"/>
      <c r="Y4" s="363"/>
      <c r="Z4" s="529" t="s">
        <v>542</v>
      </c>
      <c r="AA4" s="529"/>
      <c r="AB4" s="529"/>
      <c r="AC4" s="363"/>
      <c r="AD4" s="529" t="s">
        <v>541</v>
      </c>
      <c r="AE4" s="529"/>
      <c r="AF4" s="529"/>
    </row>
    <row r="5" spans="1:39">
      <c r="A5" s="531"/>
      <c r="B5" s="531"/>
      <c r="C5" s="361" t="s">
        <v>447</v>
      </c>
      <c r="D5" s="361" t="s">
        <v>446</v>
      </c>
      <c r="E5" s="363" t="s">
        <v>545</v>
      </c>
      <c r="F5" s="473" t="s">
        <v>111</v>
      </c>
      <c r="G5" s="363" t="s">
        <v>544</v>
      </c>
      <c r="H5" s="363"/>
      <c r="I5" s="361" t="s">
        <v>532</v>
      </c>
      <c r="J5" s="361" t="s">
        <v>531</v>
      </c>
      <c r="K5" s="361" t="s">
        <v>530</v>
      </c>
      <c r="L5" s="361"/>
      <c r="M5" s="361" t="s">
        <v>532</v>
      </c>
      <c r="N5" s="361" t="s">
        <v>531</v>
      </c>
      <c r="O5" s="361" t="s">
        <v>530</v>
      </c>
      <c r="P5" s="361"/>
      <c r="Q5" s="361" t="s">
        <v>532</v>
      </c>
      <c r="R5" s="361" t="s">
        <v>531</v>
      </c>
      <c r="S5" s="361" t="s">
        <v>530</v>
      </c>
      <c r="T5" s="363"/>
      <c r="V5" s="361" t="s">
        <v>532</v>
      </c>
      <c r="W5" s="361" t="s">
        <v>531</v>
      </c>
      <c r="X5" s="361" t="s">
        <v>530</v>
      </c>
      <c r="Y5" s="361"/>
      <c r="Z5" s="361" t="s">
        <v>532</v>
      </c>
      <c r="AA5" s="361" t="s">
        <v>531</v>
      </c>
      <c r="AB5" s="361" t="s">
        <v>530</v>
      </c>
      <c r="AC5" s="361"/>
      <c r="AD5" s="361" t="s">
        <v>532</v>
      </c>
      <c r="AE5" s="361" t="s">
        <v>531</v>
      </c>
      <c r="AF5" s="361" t="s">
        <v>530</v>
      </c>
    </row>
    <row r="6" spans="1:39">
      <c r="B6" t="s">
        <v>441</v>
      </c>
      <c r="C6" s="5" t="s">
        <v>440</v>
      </c>
      <c r="D6" s="5" t="s">
        <v>314</v>
      </c>
      <c r="E6" s="104">
        <v>77109</v>
      </c>
      <c r="F6" s="104">
        <v>30998</v>
      </c>
      <c r="G6" s="471">
        <f>E6+F6</f>
        <v>108107</v>
      </c>
      <c r="H6" s="5"/>
      <c r="I6" s="449">
        <v>3.24</v>
      </c>
      <c r="J6" s="449">
        <v>1.18</v>
      </c>
      <c r="K6" s="449">
        <v>1.05</v>
      </c>
      <c r="L6" s="449"/>
      <c r="M6" s="449">
        <v>11.93</v>
      </c>
      <c r="N6" s="449">
        <v>9.7100000000000009</v>
      </c>
      <c r="O6" s="449">
        <v>7.36</v>
      </c>
      <c r="P6" s="449"/>
      <c r="Q6" s="449">
        <v>34.69</v>
      </c>
      <c r="R6" s="449">
        <v>23.6</v>
      </c>
      <c r="S6" s="449">
        <v>14.8</v>
      </c>
      <c r="T6" s="5"/>
      <c r="U6" s="49"/>
      <c r="V6" s="472">
        <f t="shared" ref="V6:X10" si="0">I6</f>
        <v>3.24</v>
      </c>
      <c r="W6" s="472">
        <f t="shared" si="0"/>
        <v>1.18</v>
      </c>
      <c r="X6" s="472">
        <f t="shared" si="0"/>
        <v>1.05</v>
      </c>
      <c r="Y6" s="472"/>
      <c r="Z6" s="472">
        <f t="shared" ref="Z6:AB10" si="1">M6</f>
        <v>11.93</v>
      </c>
      <c r="AA6" s="472">
        <f t="shared" si="1"/>
        <v>9.7100000000000009</v>
      </c>
      <c r="AB6" s="472">
        <f t="shared" si="1"/>
        <v>7.36</v>
      </c>
      <c r="AC6" s="472"/>
      <c r="AD6" s="472">
        <f t="shared" ref="AD6:AF10" si="2">Q6</f>
        <v>34.69</v>
      </c>
      <c r="AE6" s="472">
        <f t="shared" si="2"/>
        <v>23.6</v>
      </c>
      <c r="AF6" s="472">
        <f t="shared" si="2"/>
        <v>14.8</v>
      </c>
      <c r="AG6" s="49"/>
      <c r="AH6" s="49"/>
      <c r="AI6" s="49"/>
      <c r="AJ6" s="49"/>
      <c r="AK6" s="49"/>
      <c r="AL6" s="49"/>
      <c r="AM6" s="49"/>
    </row>
    <row r="7" spans="1:39">
      <c r="B7" t="s">
        <v>439</v>
      </c>
      <c r="C7" s="5" t="s">
        <v>438</v>
      </c>
      <c r="D7" s="5" t="s">
        <v>314</v>
      </c>
      <c r="E7" s="104">
        <f>[1]Beta!H14*1000</f>
        <v>821.71199999999999</v>
      </c>
      <c r="F7" s="104">
        <v>1846</v>
      </c>
      <c r="G7" s="471">
        <f>F7+E7</f>
        <v>2667.712</v>
      </c>
      <c r="H7" s="5"/>
      <c r="I7" s="449">
        <v>1.2</v>
      </c>
      <c r="J7" s="449">
        <v>1.25</v>
      </c>
      <c r="K7" s="449">
        <v>1.2</v>
      </c>
      <c r="L7" s="449"/>
      <c r="M7" s="449">
        <v>7.53</v>
      </c>
      <c r="N7" s="449">
        <v>6.02</v>
      </c>
      <c r="O7" s="449">
        <v>5.62</v>
      </c>
      <c r="P7" s="449"/>
      <c r="Q7" s="478">
        <v>-5.59</v>
      </c>
      <c r="R7" s="478">
        <v>-11.6</v>
      </c>
      <c r="S7" s="478">
        <v>15.6</v>
      </c>
      <c r="T7" s="5"/>
      <c r="U7" s="49"/>
      <c r="V7" s="472">
        <f t="shared" si="0"/>
        <v>1.2</v>
      </c>
      <c r="W7" s="472">
        <f t="shared" si="0"/>
        <v>1.25</v>
      </c>
      <c r="X7" s="472">
        <f t="shared" si="0"/>
        <v>1.2</v>
      </c>
      <c r="Y7" s="472"/>
      <c r="Z7" s="472">
        <f t="shared" si="1"/>
        <v>7.53</v>
      </c>
      <c r="AA7" s="472">
        <f t="shared" si="1"/>
        <v>6.02</v>
      </c>
      <c r="AB7" s="472">
        <f t="shared" si="1"/>
        <v>5.62</v>
      </c>
      <c r="AC7" s="472"/>
      <c r="AD7" s="472">
        <f t="shared" si="2"/>
        <v>-5.59</v>
      </c>
      <c r="AE7" s="472">
        <f t="shared" si="2"/>
        <v>-11.6</v>
      </c>
      <c r="AF7" s="472">
        <f t="shared" si="2"/>
        <v>15.6</v>
      </c>
      <c r="AG7" s="49"/>
      <c r="AH7" s="49"/>
      <c r="AI7" s="49"/>
      <c r="AJ7" s="49"/>
      <c r="AK7" s="49"/>
      <c r="AL7" s="49"/>
      <c r="AM7" s="49"/>
    </row>
    <row r="8" spans="1:39">
      <c r="B8" t="s">
        <v>437</v>
      </c>
      <c r="C8" s="5" t="s">
        <v>436</v>
      </c>
      <c r="D8" s="5" t="s">
        <v>314</v>
      </c>
      <c r="E8" s="104">
        <f>[1]Beta!H15*1000</f>
        <v>5311</v>
      </c>
      <c r="F8" s="104">
        <v>2560</v>
      </c>
      <c r="G8" s="471">
        <f>F8+E8</f>
        <v>7871</v>
      </c>
      <c r="H8" s="5"/>
      <c r="I8" s="449">
        <v>1.72</v>
      </c>
      <c r="J8" s="449">
        <v>1.53</v>
      </c>
      <c r="K8" s="449">
        <v>1.37</v>
      </c>
      <c r="L8" s="449"/>
      <c r="M8" s="449">
        <v>6.07</v>
      </c>
      <c r="N8" s="449">
        <v>5.8</v>
      </c>
      <c r="O8" s="449">
        <v>5.14</v>
      </c>
      <c r="P8" s="449"/>
      <c r="Q8" s="449">
        <v>15.29</v>
      </c>
      <c r="R8" s="449">
        <v>12.9</v>
      </c>
      <c r="S8" s="449">
        <v>9.76</v>
      </c>
      <c r="T8" s="5"/>
      <c r="U8" s="49"/>
      <c r="V8" s="472">
        <f t="shared" si="0"/>
        <v>1.72</v>
      </c>
      <c r="W8" s="472">
        <f t="shared" si="0"/>
        <v>1.53</v>
      </c>
      <c r="X8" s="472">
        <f t="shared" si="0"/>
        <v>1.37</v>
      </c>
      <c r="Y8" s="472"/>
      <c r="Z8" s="472">
        <f t="shared" si="1"/>
        <v>6.07</v>
      </c>
      <c r="AA8" s="472">
        <f t="shared" si="1"/>
        <v>5.8</v>
      </c>
      <c r="AB8" s="472">
        <f t="shared" si="1"/>
        <v>5.14</v>
      </c>
      <c r="AC8" s="472"/>
      <c r="AD8" s="472">
        <f t="shared" si="2"/>
        <v>15.29</v>
      </c>
      <c r="AE8" s="472">
        <f t="shared" si="2"/>
        <v>12.9</v>
      </c>
      <c r="AF8" s="472">
        <f t="shared" si="2"/>
        <v>9.76</v>
      </c>
      <c r="AG8" s="49"/>
      <c r="AH8" s="49"/>
      <c r="AI8" s="49"/>
      <c r="AJ8" s="49"/>
      <c r="AK8" s="49"/>
      <c r="AL8" s="49"/>
      <c r="AM8" s="49"/>
    </row>
    <row r="9" spans="1:39">
      <c r="B9" t="s">
        <v>435</v>
      </c>
      <c r="C9" s="5" t="s">
        <v>434</v>
      </c>
      <c r="D9" s="5" t="s">
        <v>314</v>
      </c>
      <c r="E9" s="104">
        <f>[1]Beta!H16*1000</f>
        <v>3209</v>
      </c>
      <c r="F9" s="104">
        <v>1026</v>
      </c>
      <c r="G9" s="471">
        <f>F9+E9</f>
        <v>4235</v>
      </c>
      <c r="H9" s="5"/>
      <c r="I9" s="449">
        <v>2.67</v>
      </c>
      <c r="J9" s="449">
        <v>2.0099999999999998</v>
      </c>
      <c r="K9" s="449">
        <v>1.75</v>
      </c>
      <c r="L9" s="449"/>
      <c r="M9" s="449">
        <v>9.39</v>
      </c>
      <c r="N9" s="449">
        <v>7.55</v>
      </c>
      <c r="O9" s="449">
        <v>6.39</v>
      </c>
      <c r="P9" s="449"/>
      <c r="Q9" s="449">
        <v>32.44</v>
      </c>
      <c r="R9" s="449">
        <v>14.6</v>
      </c>
      <c r="S9" s="449">
        <v>10.8</v>
      </c>
      <c r="T9" s="5"/>
      <c r="U9" s="49"/>
      <c r="V9" s="472">
        <f t="shared" si="0"/>
        <v>2.67</v>
      </c>
      <c r="W9" s="472">
        <f t="shared" si="0"/>
        <v>2.0099999999999998</v>
      </c>
      <c r="X9" s="472">
        <f t="shared" si="0"/>
        <v>1.75</v>
      </c>
      <c r="Y9" s="472"/>
      <c r="Z9" s="472">
        <f t="shared" si="1"/>
        <v>9.39</v>
      </c>
      <c r="AA9" s="472">
        <f t="shared" si="1"/>
        <v>7.55</v>
      </c>
      <c r="AB9" s="472">
        <f t="shared" si="1"/>
        <v>6.39</v>
      </c>
      <c r="AC9" s="472"/>
      <c r="AD9" s="472">
        <f t="shared" si="2"/>
        <v>32.44</v>
      </c>
      <c r="AE9" s="472">
        <f t="shared" si="2"/>
        <v>14.6</v>
      </c>
      <c r="AF9" s="472">
        <f t="shared" si="2"/>
        <v>10.8</v>
      </c>
      <c r="AG9" s="49"/>
      <c r="AH9" s="49"/>
      <c r="AI9" s="49"/>
      <c r="AJ9" s="49"/>
      <c r="AK9" s="49"/>
      <c r="AL9" s="49"/>
      <c r="AM9" s="49"/>
    </row>
    <row r="10" spans="1:39">
      <c r="B10" s="358" t="s">
        <v>431</v>
      </c>
      <c r="C10" s="357" t="s">
        <v>430</v>
      </c>
      <c r="D10" s="357" t="s">
        <v>314</v>
      </c>
      <c r="E10" s="477">
        <f>Beta!H18*1000</f>
        <v>6155.6916000000001</v>
      </c>
      <c r="F10" s="477">
        <f>'DCF Analysis'!C4</f>
        <v>3843.2289999999989</v>
      </c>
      <c r="G10" s="477">
        <f>F10+E10</f>
        <v>9998.9205999999995</v>
      </c>
      <c r="H10" s="357"/>
      <c r="I10" s="476">
        <f>$G$10/I48</f>
        <v>2.1861298264025533</v>
      </c>
      <c r="J10" s="476">
        <f t="shared" ref="J10:K10" si="3">$G$10/J48</f>
        <v>1.8029385000447271</v>
      </c>
      <c r="K10" s="476">
        <f t="shared" si="3"/>
        <v>1.5470008425723649</v>
      </c>
      <c r="L10" s="476"/>
      <c r="M10" s="476">
        <f>$G$10/M48</f>
        <v>12.387070051812243</v>
      </c>
      <c r="N10" s="476">
        <f t="shared" ref="N10:O10" si="4">$G$10/N48</f>
        <v>1.8029385000447271</v>
      </c>
      <c r="O10" s="476">
        <f t="shared" si="4"/>
        <v>1.5470008425723649</v>
      </c>
      <c r="P10" s="476"/>
      <c r="Q10" s="476">
        <f>$E$10/Q48</f>
        <v>36.096084646155859</v>
      </c>
      <c r="R10" s="476">
        <f t="shared" ref="R10:S10" ca="1" si="5">$E$10/R48</f>
        <v>42.945368360384357</v>
      </c>
      <c r="S10" s="476">
        <f t="shared" ca="1" si="5"/>
        <v>17.450787949587703</v>
      </c>
      <c r="T10" s="357"/>
      <c r="U10" s="49"/>
      <c r="V10" s="472">
        <f t="shared" si="0"/>
        <v>2.1861298264025533</v>
      </c>
      <c r="W10" s="472">
        <f t="shared" si="0"/>
        <v>1.8029385000447271</v>
      </c>
      <c r="X10" s="472">
        <f t="shared" si="0"/>
        <v>1.5470008425723649</v>
      </c>
      <c r="Y10" s="472"/>
      <c r="Z10" s="472">
        <f t="shared" si="1"/>
        <v>12.387070051812243</v>
      </c>
      <c r="AA10" s="472">
        <f t="shared" si="1"/>
        <v>1.8029385000447271</v>
      </c>
      <c r="AB10" s="472">
        <f t="shared" si="1"/>
        <v>1.5470008425723649</v>
      </c>
      <c r="AC10" s="472"/>
      <c r="AD10" s="472">
        <f t="shared" si="2"/>
        <v>36.096084646155859</v>
      </c>
      <c r="AE10" s="472">
        <f t="shared" ca="1" si="2"/>
        <v>42.945368360384357</v>
      </c>
      <c r="AF10" s="472">
        <f t="shared" ca="1" si="2"/>
        <v>17.450787949587703</v>
      </c>
      <c r="AG10" s="49"/>
      <c r="AH10" s="49"/>
      <c r="AI10" s="49"/>
      <c r="AJ10" s="49"/>
      <c r="AK10" s="49"/>
      <c r="AL10" s="49"/>
      <c r="AM10" s="49"/>
    </row>
    <row r="11" spans="1:39" s="460" customFormat="1">
      <c r="B11" s="457" t="s">
        <v>428</v>
      </c>
      <c r="C11" s="469"/>
      <c r="D11" s="469"/>
      <c r="E11" s="470"/>
      <c r="F11" s="470"/>
      <c r="G11" s="470"/>
      <c r="H11" s="469"/>
      <c r="I11" s="462">
        <f>AVERAGE(I6:I10)</f>
        <v>2.2032259652805104</v>
      </c>
      <c r="J11" s="462">
        <f>AVERAGE(J6:J10)</f>
        <v>1.5545877000089454</v>
      </c>
      <c r="K11" s="462">
        <f>AVERAGE(K6:K10)</f>
        <v>1.383400168514473</v>
      </c>
      <c r="L11" s="462"/>
      <c r="M11" s="462">
        <f>AVERAGE(M6:M10)</f>
        <v>9.46141401036245</v>
      </c>
      <c r="N11" s="462">
        <f>AVERAGE(N6:N10)</f>
        <v>6.1765877000089464</v>
      </c>
      <c r="O11" s="462">
        <f>AVERAGE(O6:O10)</f>
        <v>5.2114001685144737</v>
      </c>
      <c r="P11" s="462"/>
      <c r="Q11" s="462">
        <f>AVERAGE(Q8:Q10,Q6)</f>
        <v>29.629021161538965</v>
      </c>
      <c r="R11" s="462">
        <f ca="1">AVERAGE(R8:R10,R6)</f>
        <v>23.511342090096086</v>
      </c>
      <c r="S11" s="462">
        <f ca="1">AVERAGE(S8:S10,S6)</f>
        <v>13.202696987396926</v>
      </c>
      <c r="T11" s="469"/>
      <c r="U11" s="49"/>
      <c r="V11" s="472">
        <f t="shared" ref="V11:X15" si="6">I16</f>
        <v>1.93</v>
      </c>
      <c r="W11" s="472">
        <f t="shared" si="6"/>
        <v>1.8</v>
      </c>
      <c r="X11" s="472">
        <f t="shared" si="6"/>
        <v>1.69</v>
      </c>
      <c r="Y11" s="472"/>
      <c r="Z11" s="472">
        <f t="shared" ref="Z11:AB15" si="7">M16</f>
        <v>8.7200000000000006</v>
      </c>
      <c r="AA11" s="472">
        <f t="shared" si="7"/>
        <v>9.19</v>
      </c>
      <c r="AB11" s="472">
        <f t="shared" si="7"/>
        <v>8.58</v>
      </c>
      <c r="AC11" s="472"/>
      <c r="AD11" s="472">
        <f t="shared" ref="AD11:AF15" si="8">Q16</f>
        <v>14.16</v>
      </c>
      <c r="AE11" s="472">
        <f t="shared" si="8"/>
        <v>15.4</v>
      </c>
      <c r="AF11" s="472">
        <f t="shared" si="8"/>
        <v>13.9</v>
      </c>
      <c r="AG11" s="49"/>
      <c r="AH11" s="49"/>
      <c r="AI11" s="49"/>
      <c r="AJ11" s="49"/>
      <c r="AK11" s="49"/>
      <c r="AL11" s="49"/>
      <c r="AM11" s="49"/>
    </row>
    <row r="12" spans="1:39">
      <c r="U12" s="49"/>
      <c r="V12" s="472">
        <f t="shared" si="6"/>
        <v>1.1200000000000001</v>
      </c>
      <c r="W12" s="472">
        <f t="shared" si="6"/>
        <v>1.02</v>
      </c>
      <c r="X12" s="472">
        <f t="shared" si="6"/>
        <v>0.99</v>
      </c>
      <c r="Y12" s="472"/>
      <c r="Z12" s="472">
        <f t="shared" si="7"/>
        <v>9.41</v>
      </c>
      <c r="AA12" s="472">
        <f t="shared" si="7"/>
        <v>8.34</v>
      </c>
      <c r="AB12" s="472">
        <f t="shared" si="7"/>
        <v>8.08</v>
      </c>
      <c r="AC12" s="472"/>
      <c r="AD12" s="472">
        <f t="shared" si="8"/>
        <v>15.62</v>
      </c>
      <c r="AE12" s="472">
        <f t="shared" si="8"/>
        <v>13.7</v>
      </c>
      <c r="AF12" s="472">
        <f t="shared" si="8"/>
        <v>12.5</v>
      </c>
      <c r="AG12" s="49"/>
      <c r="AH12" s="49"/>
      <c r="AI12" s="49"/>
      <c r="AJ12" s="49"/>
      <c r="AK12" s="49"/>
      <c r="AL12" s="49"/>
      <c r="AM12" s="49"/>
    </row>
    <row r="13" spans="1:39">
      <c r="A13" s="475" t="s">
        <v>547</v>
      </c>
      <c r="B13" s="474"/>
      <c r="C13" s="474"/>
      <c r="D13" s="474"/>
      <c r="E13" s="474"/>
      <c r="F13" s="474"/>
      <c r="G13" s="474"/>
      <c r="H13" s="474"/>
      <c r="I13" s="474"/>
      <c r="J13" s="474"/>
      <c r="K13" s="474"/>
      <c r="L13" s="474"/>
      <c r="M13" s="474"/>
      <c r="N13" s="474"/>
      <c r="O13" s="474"/>
      <c r="P13" s="474"/>
      <c r="Q13" s="474"/>
      <c r="R13" s="474"/>
      <c r="S13" s="474"/>
      <c r="T13" s="474"/>
      <c r="U13" s="49"/>
      <c r="V13" s="472">
        <f t="shared" si="6"/>
        <v>1.1100000000000001</v>
      </c>
      <c r="W13" s="472">
        <f t="shared" si="6"/>
        <v>1.04</v>
      </c>
      <c r="X13" s="472">
        <f t="shared" si="6"/>
        <v>0.97</v>
      </c>
      <c r="Y13" s="472"/>
      <c r="Z13" s="472">
        <f t="shared" si="7"/>
        <v>7.02</v>
      </c>
      <c r="AA13" s="472">
        <f t="shared" si="7"/>
        <v>6.33</v>
      </c>
      <c r="AB13" s="472">
        <f t="shared" si="7"/>
        <v>5.83</v>
      </c>
      <c r="AC13" s="472"/>
      <c r="AD13" s="472">
        <f t="shared" si="8"/>
        <v>18.5</v>
      </c>
      <c r="AE13" s="472">
        <f t="shared" si="8"/>
        <v>14.7</v>
      </c>
      <c r="AF13" s="472">
        <f t="shared" si="8"/>
        <v>11.4</v>
      </c>
      <c r="AG13" s="49"/>
      <c r="AH13" s="49"/>
      <c r="AI13" s="49"/>
      <c r="AJ13" s="49"/>
      <c r="AK13" s="49"/>
      <c r="AL13" s="49"/>
      <c r="AM13" s="49"/>
    </row>
    <row r="14" spans="1:39">
      <c r="A14" s="531" t="s">
        <v>546</v>
      </c>
      <c r="B14" s="531"/>
      <c r="C14" s="363"/>
      <c r="D14" s="363"/>
      <c r="E14" s="363"/>
      <c r="F14" s="363"/>
      <c r="G14" s="363"/>
      <c r="H14" s="363"/>
      <c r="I14" s="529" t="s">
        <v>543</v>
      </c>
      <c r="J14" s="529"/>
      <c r="K14" s="529"/>
      <c r="L14" s="363"/>
      <c r="M14" s="529" t="s">
        <v>542</v>
      </c>
      <c r="N14" s="529"/>
      <c r="O14" s="529"/>
      <c r="P14" s="363"/>
      <c r="Q14" s="529" t="s">
        <v>541</v>
      </c>
      <c r="R14" s="529"/>
      <c r="S14" s="529"/>
      <c r="T14" s="363"/>
      <c r="U14" s="49"/>
      <c r="V14" s="472">
        <f t="shared" si="6"/>
        <v>2.15</v>
      </c>
      <c r="W14" s="472">
        <f t="shared" si="6"/>
        <v>1.88</v>
      </c>
      <c r="X14" s="472">
        <f t="shared" si="6"/>
        <v>1.72</v>
      </c>
      <c r="Y14" s="472"/>
      <c r="Z14" s="472">
        <f t="shared" si="7"/>
        <v>10.77</v>
      </c>
      <c r="AA14" s="472">
        <f t="shared" si="7"/>
        <v>9.92</v>
      </c>
      <c r="AB14" s="472">
        <f t="shared" si="7"/>
        <v>8.9600000000000009</v>
      </c>
      <c r="AC14" s="472"/>
      <c r="AD14" s="472">
        <f t="shared" si="8"/>
        <v>25.06</v>
      </c>
      <c r="AE14" s="472">
        <f t="shared" si="8"/>
        <v>20</v>
      </c>
      <c r="AF14" s="472">
        <f t="shared" si="8"/>
        <v>18.100000000000001</v>
      </c>
      <c r="AG14" s="49"/>
      <c r="AH14" s="49"/>
      <c r="AI14" s="49"/>
      <c r="AJ14" s="49"/>
      <c r="AK14" s="49"/>
      <c r="AL14" s="49"/>
      <c r="AM14" s="49"/>
    </row>
    <row r="15" spans="1:39">
      <c r="A15" s="531"/>
      <c r="B15" s="531"/>
      <c r="C15" s="361" t="s">
        <v>447</v>
      </c>
      <c r="D15" s="361" t="s">
        <v>446</v>
      </c>
      <c r="E15" s="363" t="s">
        <v>545</v>
      </c>
      <c r="F15" s="473" t="s">
        <v>111</v>
      </c>
      <c r="G15" s="363" t="s">
        <v>544</v>
      </c>
      <c r="H15" s="363"/>
      <c r="I15" s="361" t="s">
        <v>532</v>
      </c>
      <c r="J15" s="361" t="s">
        <v>531</v>
      </c>
      <c r="K15" s="361" t="s">
        <v>530</v>
      </c>
      <c r="L15" s="361"/>
      <c r="M15" s="361" t="s">
        <v>532</v>
      </c>
      <c r="N15" s="361" t="s">
        <v>531</v>
      </c>
      <c r="O15" s="361" t="s">
        <v>530</v>
      </c>
      <c r="P15" s="361"/>
      <c r="Q15" s="361" t="s">
        <v>532</v>
      </c>
      <c r="R15" s="361" t="s">
        <v>531</v>
      </c>
      <c r="S15" s="361" t="s">
        <v>530</v>
      </c>
      <c r="T15" s="363"/>
      <c r="U15" s="49"/>
      <c r="V15" s="472">
        <f t="shared" si="6"/>
        <v>1.34</v>
      </c>
      <c r="W15" s="472">
        <f t="shared" si="6"/>
        <v>1.1399999999999999</v>
      </c>
      <c r="X15" s="472">
        <f t="shared" si="6"/>
        <v>1.05</v>
      </c>
      <c r="Y15" s="472"/>
      <c r="Z15" s="472">
        <f t="shared" si="7"/>
        <v>13.38</v>
      </c>
      <c r="AA15" s="472">
        <f t="shared" si="7"/>
        <v>9.4499999999999993</v>
      </c>
      <c r="AB15" s="472">
        <f t="shared" si="7"/>
        <v>8.23</v>
      </c>
      <c r="AC15" s="472"/>
      <c r="AD15" s="472">
        <f t="shared" si="8"/>
        <v>22.51</v>
      </c>
      <c r="AE15" s="472">
        <f t="shared" si="8"/>
        <v>16.2</v>
      </c>
      <c r="AF15" s="472">
        <f t="shared" si="8"/>
        <v>13.1</v>
      </c>
      <c r="AG15" s="49"/>
      <c r="AH15" s="49"/>
      <c r="AI15" s="49"/>
      <c r="AJ15" s="49"/>
      <c r="AK15" s="49"/>
      <c r="AL15" s="49"/>
      <c r="AM15" s="49"/>
    </row>
    <row r="16" spans="1:39">
      <c r="B16" t="s">
        <v>459</v>
      </c>
      <c r="C16" s="5" t="s">
        <v>458</v>
      </c>
      <c r="D16" s="5" t="s">
        <v>449</v>
      </c>
      <c r="E16" s="104">
        <v>76793</v>
      </c>
      <c r="F16" s="104">
        <v>38014</v>
      </c>
      <c r="G16" s="471">
        <f>F16+E16</f>
        <v>114807</v>
      </c>
      <c r="I16" s="449">
        <v>1.93</v>
      </c>
      <c r="J16" s="449">
        <v>1.8</v>
      </c>
      <c r="K16" s="449">
        <v>1.69</v>
      </c>
      <c r="L16" s="449"/>
      <c r="M16" s="449">
        <v>8.7200000000000006</v>
      </c>
      <c r="N16" s="449">
        <v>9.19</v>
      </c>
      <c r="O16" s="449">
        <v>8.58</v>
      </c>
      <c r="P16" s="449"/>
      <c r="Q16" s="449">
        <v>14.16</v>
      </c>
      <c r="R16" s="449">
        <v>15.4</v>
      </c>
      <c r="S16" s="449">
        <v>13.9</v>
      </c>
      <c r="U16" s="49"/>
      <c r="V16" s="472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</row>
    <row r="17" spans="2:39">
      <c r="B17" t="s">
        <v>457</v>
      </c>
      <c r="C17" s="5" t="s">
        <v>456</v>
      </c>
      <c r="D17" s="5" t="s">
        <v>449</v>
      </c>
      <c r="E17" s="104">
        <v>10072</v>
      </c>
      <c r="F17" s="104">
        <v>4693</v>
      </c>
      <c r="G17" s="471">
        <f>F17+E17</f>
        <v>14765</v>
      </c>
      <c r="I17" s="449">
        <v>1.1200000000000001</v>
      </c>
      <c r="J17" s="449">
        <v>1.02</v>
      </c>
      <c r="K17" s="449">
        <v>0.99</v>
      </c>
      <c r="L17" s="449"/>
      <c r="M17" s="449">
        <v>9.41</v>
      </c>
      <c r="N17" s="449">
        <v>8.34</v>
      </c>
      <c r="O17" s="449">
        <v>8.08</v>
      </c>
      <c r="P17" s="449"/>
      <c r="Q17" s="449">
        <v>15.62</v>
      </c>
      <c r="R17" s="449">
        <v>13.7</v>
      </c>
      <c r="S17" s="449">
        <v>12.5</v>
      </c>
      <c r="U17" s="49"/>
      <c r="V17" s="472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</row>
    <row r="18" spans="2:39">
      <c r="B18" t="s">
        <v>455</v>
      </c>
      <c r="C18" s="5" t="s">
        <v>454</v>
      </c>
      <c r="D18" s="5" t="s">
        <v>449</v>
      </c>
      <c r="E18" s="104">
        <v>7069</v>
      </c>
      <c r="F18" s="104">
        <v>14317</v>
      </c>
      <c r="G18" s="471">
        <f>F18+E18</f>
        <v>21386</v>
      </c>
      <c r="I18" s="449">
        <v>1.1100000000000001</v>
      </c>
      <c r="J18" s="449">
        <v>1.04</v>
      </c>
      <c r="K18" s="449">
        <v>0.97</v>
      </c>
      <c r="L18" s="449"/>
      <c r="M18" s="449">
        <v>7.02</v>
      </c>
      <c r="N18" s="449">
        <v>6.33</v>
      </c>
      <c r="O18" s="449">
        <v>5.83</v>
      </c>
      <c r="P18" s="449"/>
      <c r="Q18" s="449">
        <v>18.5</v>
      </c>
      <c r="R18" s="449">
        <v>14.7</v>
      </c>
      <c r="S18" s="449">
        <v>11.4</v>
      </c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</row>
    <row r="19" spans="2:39">
      <c r="B19" t="s">
        <v>453</v>
      </c>
      <c r="C19" s="5" t="s">
        <v>452</v>
      </c>
      <c r="D19" s="5" t="s">
        <v>449</v>
      </c>
      <c r="E19" s="104">
        <v>6261</v>
      </c>
      <c r="F19" s="104">
        <v>2663</v>
      </c>
      <c r="G19" s="471">
        <f>F19+E19</f>
        <v>8924</v>
      </c>
      <c r="I19" s="449">
        <v>2.15</v>
      </c>
      <c r="J19" s="449">
        <v>1.88</v>
      </c>
      <c r="K19" s="449">
        <v>1.72</v>
      </c>
      <c r="L19" s="449"/>
      <c r="M19" s="449">
        <v>10.77</v>
      </c>
      <c r="N19" s="449">
        <v>9.92</v>
      </c>
      <c r="O19" s="449">
        <v>8.9600000000000009</v>
      </c>
      <c r="P19" s="449"/>
      <c r="Q19" s="449">
        <v>25.06</v>
      </c>
      <c r="R19" s="449">
        <v>20</v>
      </c>
      <c r="S19" s="449">
        <v>18.100000000000001</v>
      </c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</row>
    <row r="20" spans="2:39">
      <c r="B20" t="s">
        <v>451</v>
      </c>
      <c r="C20" s="5" t="s">
        <v>450</v>
      </c>
      <c r="D20" s="5" t="s">
        <v>449</v>
      </c>
      <c r="E20" s="104">
        <v>3911</v>
      </c>
      <c r="F20" s="104">
        <v>3797</v>
      </c>
      <c r="G20" s="471">
        <f>F20+E20</f>
        <v>7708</v>
      </c>
      <c r="I20" s="449">
        <v>1.34</v>
      </c>
      <c r="J20" s="449">
        <v>1.1399999999999999</v>
      </c>
      <c r="K20" s="449">
        <v>1.05</v>
      </c>
      <c r="L20" s="449"/>
      <c r="M20" s="449">
        <v>13.38</v>
      </c>
      <c r="N20" s="449">
        <v>9.4499999999999993</v>
      </c>
      <c r="O20" s="449">
        <v>8.23</v>
      </c>
      <c r="P20" s="449"/>
      <c r="Q20" s="449">
        <v>22.51</v>
      </c>
      <c r="R20" s="449">
        <v>16.2</v>
      </c>
      <c r="S20" s="449">
        <v>13.1</v>
      </c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</row>
    <row r="21" spans="2:39" s="460" customFormat="1">
      <c r="B21" s="457" t="s">
        <v>428</v>
      </c>
      <c r="C21" s="469"/>
      <c r="D21" s="469"/>
      <c r="E21" s="470"/>
      <c r="F21" s="470"/>
      <c r="G21" s="470"/>
      <c r="H21" s="469"/>
      <c r="I21" s="462">
        <f>AVERAGE(I16:I20)</f>
        <v>1.53</v>
      </c>
      <c r="J21" s="462">
        <f>AVERAGE(J16:J20)</f>
        <v>1.3759999999999999</v>
      </c>
      <c r="K21" s="462">
        <f>AVERAGE(K16:K20)</f>
        <v>1.2839999999999998</v>
      </c>
      <c r="L21" s="462"/>
      <c r="M21" s="462">
        <f>AVERAGE(M16:M20)</f>
        <v>9.8600000000000012</v>
      </c>
      <c r="N21" s="462">
        <f>AVERAGE(N16:N20)</f>
        <v>8.6460000000000008</v>
      </c>
      <c r="O21" s="462">
        <f>AVERAGE(O16:O20)</f>
        <v>7.9360000000000017</v>
      </c>
      <c r="P21" s="462"/>
      <c r="Q21" s="462">
        <f>AVERAGE(Q18:Q20,Q16)</f>
        <v>20.057500000000001</v>
      </c>
      <c r="R21" s="462">
        <f>AVERAGE(R18:R20,R16)</f>
        <v>16.575000000000003</v>
      </c>
      <c r="S21" s="462">
        <f>AVERAGE(S18:S20,S16)</f>
        <v>14.125</v>
      </c>
      <c r="T21" s="46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</row>
    <row r="22" spans="2:39">
      <c r="C22" s="5"/>
      <c r="D22" s="5"/>
      <c r="E22" s="104"/>
      <c r="F22" s="104"/>
      <c r="I22" s="449"/>
      <c r="J22" s="449"/>
      <c r="K22" s="449"/>
      <c r="L22" s="449"/>
      <c r="M22" s="449"/>
      <c r="N22" s="449"/>
      <c r="O22" s="449"/>
      <c r="P22" s="449"/>
      <c r="Q22" s="449"/>
      <c r="R22" s="449"/>
      <c r="S22" s="449"/>
    </row>
    <row r="23" spans="2:39">
      <c r="C23" s="5"/>
      <c r="D23" s="5"/>
      <c r="E23" s="104"/>
      <c r="F23" s="104"/>
      <c r="I23" s="449"/>
      <c r="J23" s="449"/>
      <c r="K23" s="449"/>
      <c r="L23" s="449"/>
      <c r="M23" s="449"/>
      <c r="N23" s="449"/>
      <c r="O23" s="449"/>
      <c r="P23" s="449"/>
      <c r="Q23" s="449"/>
      <c r="R23" s="449"/>
      <c r="S23" s="449"/>
    </row>
    <row r="24" spans="2:39">
      <c r="C24" s="5"/>
      <c r="D24" s="5"/>
      <c r="E24" s="104"/>
      <c r="F24" s="104"/>
      <c r="I24" s="449"/>
      <c r="J24" s="449"/>
      <c r="K24" s="449"/>
      <c r="L24" s="449"/>
      <c r="M24" s="449"/>
      <c r="N24" s="449"/>
      <c r="O24" s="449"/>
      <c r="P24" s="449"/>
      <c r="Q24" s="449"/>
      <c r="R24" s="449"/>
      <c r="S24" s="449"/>
    </row>
    <row r="25" spans="2:39">
      <c r="C25" s="5"/>
      <c r="D25" s="5"/>
      <c r="E25" s="104"/>
      <c r="F25" s="104"/>
      <c r="I25" s="530" t="s">
        <v>543</v>
      </c>
      <c r="J25" s="530"/>
      <c r="K25" s="530"/>
      <c r="L25" s="7"/>
      <c r="M25" s="530" t="s">
        <v>542</v>
      </c>
      <c r="N25" s="530"/>
      <c r="O25" s="530"/>
      <c r="P25" s="7"/>
      <c r="Q25" s="530" t="s">
        <v>541</v>
      </c>
      <c r="R25" s="530"/>
      <c r="S25" s="530"/>
    </row>
    <row r="26" spans="2:39">
      <c r="I26" s="6" t="s">
        <v>532</v>
      </c>
      <c r="J26" s="6" t="s">
        <v>531</v>
      </c>
      <c r="K26" s="6" t="s">
        <v>530</v>
      </c>
      <c r="L26" s="6"/>
      <c r="M26" s="6" t="s">
        <v>532</v>
      </c>
      <c r="N26" s="6" t="s">
        <v>531</v>
      </c>
      <c r="O26" s="6" t="s">
        <v>530</v>
      </c>
      <c r="P26" s="6"/>
      <c r="Q26" s="6" t="s">
        <v>532</v>
      </c>
      <c r="R26" s="6" t="s">
        <v>531</v>
      </c>
      <c r="S26" s="6" t="s">
        <v>530</v>
      </c>
    </row>
    <row r="27" spans="2:39">
      <c r="B27" s="468" t="s">
        <v>540</v>
      </c>
      <c r="C27" s="466"/>
      <c r="D27" s="466"/>
      <c r="E27" s="466"/>
      <c r="F27" s="466"/>
      <c r="G27" s="466"/>
      <c r="H27" s="466"/>
      <c r="I27" s="467">
        <f>MIN(V6:V15)</f>
        <v>1.1100000000000001</v>
      </c>
      <c r="J27" s="467">
        <f>MIN(W6:W15)</f>
        <v>1.02</v>
      </c>
      <c r="K27" s="467">
        <f t="shared" ref="K27:S27" si="9">MIN(X6:X15)</f>
        <v>0.97</v>
      </c>
      <c r="L27" s="467"/>
      <c r="M27" s="467">
        <f t="shared" si="9"/>
        <v>6.07</v>
      </c>
      <c r="N27" s="467">
        <f t="shared" si="9"/>
        <v>1.8029385000447271</v>
      </c>
      <c r="O27" s="467">
        <f t="shared" si="9"/>
        <v>1.5470008425723649</v>
      </c>
      <c r="P27" s="467"/>
      <c r="Q27" s="467">
        <f t="shared" si="9"/>
        <v>-5.59</v>
      </c>
      <c r="R27" s="467">
        <f t="shared" ca="1" si="9"/>
        <v>-11.6</v>
      </c>
      <c r="S27" s="467">
        <f t="shared" ca="1" si="9"/>
        <v>9.76</v>
      </c>
      <c r="T27" s="466"/>
    </row>
    <row r="28" spans="2:39">
      <c r="B28" s="448" t="s">
        <v>520</v>
      </c>
      <c r="I28" s="17">
        <f>I27*I48</f>
        <v>5076.9180000000006</v>
      </c>
      <c r="J28" s="17">
        <f>J27*J48</f>
        <v>5656.8202474721047</v>
      </c>
      <c r="K28" s="17">
        <f t="shared" ref="K28:S28" si="10">K27*K48</f>
        <v>6269.5201677282257</v>
      </c>
      <c r="L28" s="17"/>
      <c r="M28" s="17">
        <f t="shared" si="10"/>
        <v>4899.7420526511414</v>
      </c>
      <c r="N28" s="17">
        <f t="shared" si="10"/>
        <v>9998.9205999999995</v>
      </c>
      <c r="O28" s="17">
        <f t="shared" si="10"/>
        <v>9998.9205999999995</v>
      </c>
      <c r="P28" s="17"/>
      <c r="Q28" s="17">
        <f t="shared" si="10"/>
        <v>-953.29774354528536</v>
      </c>
      <c r="R28" s="17">
        <f t="shared" ca="1" si="10"/>
        <v>-1662.7176640047085</v>
      </c>
      <c r="S28" s="17">
        <f t="shared" ca="1" si="10"/>
        <v>3442.7986970880283</v>
      </c>
    </row>
    <row r="29" spans="2:39">
      <c r="B29" s="450"/>
      <c r="I29" s="465"/>
      <c r="J29" s="465"/>
      <c r="K29" s="465"/>
      <c r="L29" s="465"/>
      <c r="M29" s="465"/>
      <c r="N29" s="465"/>
      <c r="O29" s="465"/>
      <c r="P29" s="465"/>
      <c r="Q29" s="465"/>
      <c r="R29" s="465"/>
      <c r="S29" s="465"/>
    </row>
    <row r="30" spans="2:39">
      <c r="B30" s="456" t="s">
        <v>539</v>
      </c>
      <c r="C30" s="363"/>
      <c r="D30" s="363"/>
      <c r="E30" s="363"/>
      <c r="F30" s="363"/>
      <c r="G30" s="363"/>
      <c r="H30" s="363"/>
      <c r="I30" s="455">
        <f>_xlfn.QUARTILE.EXC(V6:V15,1)</f>
        <v>1.18</v>
      </c>
      <c r="J30" s="455">
        <f>_xlfn.QUARTILE.EXC(W6:W15,1)</f>
        <v>1.115</v>
      </c>
      <c r="K30" s="455">
        <f t="shared" ref="K30:S30" si="11">_xlfn.QUARTILE.EXC(X6:X15,1)</f>
        <v>1.0350000000000001</v>
      </c>
      <c r="L30" s="455"/>
      <c r="M30" s="455">
        <f t="shared" si="11"/>
        <v>7.4024999999999999</v>
      </c>
      <c r="N30" s="455">
        <f t="shared" si="11"/>
        <v>5.9649999999999999</v>
      </c>
      <c r="O30" s="455">
        <f t="shared" si="11"/>
        <v>5.5</v>
      </c>
      <c r="P30" s="455"/>
      <c r="Q30" s="455">
        <f t="shared" si="11"/>
        <v>15.0075</v>
      </c>
      <c r="R30" s="455">
        <f t="shared" ca="1" si="11"/>
        <v>13.5</v>
      </c>
      <c r="S30" s="455">
        <f t="shared" ca="1" si="11"/>
        <v>11.25</v>
      </c>
      <c r="T30" s="363"/>
    </row>
    <row r="31" spans="2:39">
      <c r="B31" s="454" t="s">
        <v>520</v>
      </c>
      <c r="C31" s="363"/>
      <c r="D31" s="363"/>
      <c r="E31" s="363"/>
      <c r="F31" s="363"/>
      <c r="G31" s="363"/>
      <c r="H31" s="363"/>
      <c r="I31" s="453">
        <f>I30*I$48</f>
        <v>5397.0839999999998</v>
      </c>
      <c r="J31" s="453">
        <f>J30*J$48</f>
        <v>6183.680956795487</v>
      </c>
      <c r="K31" s="453">
        <f t="shared" ref="K31:S31" si="12">K30*K$48</f>
        <v>6689.6426531945508</v>
      </c>
      <c r="L31" s="453"/>
      <c r="M31" s="453">
        <f t="shared" si="12"/>
        <v>5975.3444060543779</v>
      </c>
      <c r="N31" s="453">
        <f t="shared" si="12"/>
        <v>33081.306643305004</v>
      </c>
      <c r="O31" s="453">
        <f t="shared" si="12"/>
        <v>35548.825693304374</v>
      </c>
      <c r="P31" s="453"/>
      <c r="Q31" s="453">
        <f t="shared" si="12"/>
        <v>2559.3230565752897</v>
      </c>
      <c r="R31" s="453">
        <f t="shared" ca="1" si="12"/>
        <v>1935.0593503503073</v>
      </c>
      <c r="S31" s="453">
        <f t="shared" ca="1" si="12"/>
        <v>3968.3898916229832</v>
      </c>
      <c r="T31" s="363"/>
    </row>
    <row r="32" spans="2:39" s="11" customFormat="1">
      <c r="B32" s="452" t="s">
        <v>536</v>
      </c>
      <c r="C32" s="362"/>
      <c r="D32" s="362"/>
      <c r="E32" s="362"/>
      <c r="F32" s="362"/>
      <c r="G32" s="362"/>
      <c r="H32" s="362"/>
      <c r="I32" s="464">
        <f>(I31-I$49+I$50)/'DCF Analysis'!$C$3</f>
        <v>4.4002445590354133</v>
      </c>
      <c r="J32" s="464">
        <f ca="1">(J31-J$49+J$50)/'DCF Analysis'!$C$3</f>
        <v>6.0731985419879368</v>
      </c>
      <c r="K32" s="464">
        <f ca="1">(K31-K$49+K$50)/'DCF Analysis'!$C$3</f>
        <v>7.0015440652135652</v>
      </c>
      <c r="L32" s="464"/>
      <c r="M32" s="464">
        <f>(M31-M$49+M$50)/'DCF Analysis'!$C$3</f>
        <v>5.4965143816910169</v>
      </c>
      <c r="N32" s="464">
        <f>(N31-N$49+N$50)/'DCF Analysis'!$C$3</f>
        <v>57.06589150951185</v>
      </c>
      <c r="O32" s="464">
        <f>(O31-O$49+O$50)/'DCF Analysis'!$C$3</f>
        <v>61.712970166885327</v>
      </c>
      <c r="P32" s="464"/>
      <c r="Q32" s="464">
        <f>(Q31-Q$49+Q$50)/'DCF Analysis'!$C$3</f>
        <v>-0.97960101506163344</v>
      </c>
      <c r="R32" s="464">
        <f ca="1">(R31-R$49+R$50)/'DCF Analysis'!$C$3</f>
        <v>-1.9813658139026742</v>
      </c>
      <c r="S32" s="464">
        <f ca="1">(S31-S$49+S$50)/'DCF Analysis'!$C$3</f>
        <v>1.8425754567894217</v>
      </c>
      <c r="T32" s="451"/>
    </row>
    <row r="33" spans="1:20">
      <c r="B33" s="463" t="s">
        <v>429</v>
      </c>
      <c r="C33" s="460"/>
      <c r="D33" s="460"/>
      <c r="E33" s="460"/>
      <c r="F33" s="460"/>
      <c r="G33" s="460"/>
      <c r="H33" s="460"/>
      <c r="I33" s="462">
        <f>MEDIAN(V6:V15)</f>
        <v>1.825</v>
      </c>
      <c r="J33" s="462">
        <f>MEDIAN(W6:W15)</f>
        <v>1.3900000000000001</v>
      </c>
      <c r="K33" s="462">
        <f t="shared" ref="K33:S33" si="13">MEDIAN(X6:X15)</f>
        <v>1.2850000000000001</v>
      </c>
      <c r="L33" s="462"/>
      <c r="M33" s="462">
        <f t="shared" si="13"/>
        <v>9.4</v>
      </c>
      <c r="N33" s="462">
        <f t="shared" si="13"/>
        <v>7.9450000000000003</v>
      </c>
      <c r="O33" s="462">
        <f t="shared" si="13"/>
        <v>6.875</v>
      </c>
      <c r="P33" s="462"/>
      <c r="Q33" s="462">
        <f t="shared" si="13"/>
        <v>20.505000000000003</v>
      </c>
      <c r="R33" s="462">
        <f t="shared" ca="1" si="13"/>
        <v>15.05</v>
      </c>
      <c r="S33" s="462">
        <f t="shared" ca="1" si="13"/>
        <v>13.5</v>
      </c>
      <c r="T33" s="460"/>
    </row>
    <row r="34" spans="1:20">
      <c r="B34" s="461" t="s">
        <v>520</v>
      </c>
      <c r="C34" s="460"/>
      <c r="D34" s="460"/>
      <c r="E34" s="460"/>
      <c r="F34" s="460"/>
      <c r="G34" s="460"/>
      <c r="H34" s="460"/>
      <c r="I34" s="21">
        <f>I33*I$48</f>
        <v>8347.1849999999995</v>
      </c>
      <c r="J34" s="21">
        <f>J33*J$48</f>
        <v>7708.804062731595</v>
      </c>
      <c r="K34" s="21">
        <f t="shared" ref="K34:S34" si="14">K33*K$48</f>
        <v>8305.4983665265681</v>
      </c>
      <c r="L34" s="21"/>
      <c r="M34" s="21">
        <f t="shared" si="14"/>
        <v>7587.7389283230195</v>
      </c>
      <c r="N34" s="21">
        <f t="shared" si="14"/>
        <v>44062.193006044974</v>
      </c>
      <c r="O34" s="21">
        <f t="shared" si="14"/>
        <v>44436.032116630464</v>
      </c>
      <c r="P34" s="21"/>
      <c r="Q34" s="21">
        <f t="shared" si="14"/>
        <v>3496.8461952408011</v>
      </c>
      <c r="R34" s="21">
        <f t="shared" ca="1" si="14"/>
        <v>2157.2328313164539</v>
      </c>
      <c r="S34" s="21">
        <f t="shared" ca="1" si="14"/>
        <v>4762.0678699475802</v>
      </c>
      <c r="T34" s="460"/>
    </row>
    <row r="35" spans="1:20" s="11" customFormat="1">
      <c r="B35" s="459" t="s">
        <v>538</v>
      </c>
      <c r="C35" s="457"/>
      <c r="D35" s="457"/>
      <c r="E35" s="457"/>
      <c r="F35" s="457"/>
      <c r="G35" s="457"/>
      <c r="H35" s="457"/>
      <c r="I35" s="458">
        <f>(I34-I$49+I$50)/'DCF Analysis'!$C$3</f>
        <v>9.9930651399105166</v>
      </c>
      <c r="J35" s="458">
        <f ca="1">(J34-J$49+J$50)/'DCF Analysis'!$C$3</f>
        <v>8.964536803033111</v>
      </c>
      <c r="K35" s="458">
        <f ca="1">(K34-K$49+K$50)/'DCF Analysis'!$C$3</f>
        <v>10.064893790951066</v>
      </c>
      <c r="L35" s="458"/>
      <c r="M35" s="458">
        <f>(M34-M$49+M$50)/'DCF Analysis'!$C$3</f>
        <v>8.5533023589956372</v>
      </c>
      <c r="N35" s="458">
        <f>(N34-N$49+N$50)/'DCF Analysis'!$C$3</f>
        <v>77.883526989037094</v>
      </c>
      <c r="O35" s="458">
        <f>(O34-O$49+O$50)/'DCF Analysis'!$C$3</f>
        <v>78.561393658441588</v>
      </c>
      <c r="P35" s="458"/>
      <c r="Q35" s="458">
        <f>(Q34-Q$49+Q$50)/'DCF Analysis'!$C$3</f>
        <v>0.7977614226905303</v>
      </c>
      <c r="R35" s="458">
        <f ca="1">(R34-R$49+R$50)/'DCF Analysis'!$C$3</f>
        <v>-1.5601678898749449</v>
      </c>
      <c r="S35" s="458">
        <f ca="1">(S34-S$49+S$50)/'DCF Analysis'!$C$3</f>
        <v>3.3472353080152444</v>
      </c>
      <c r="T35" s="457"/>
    </row>
    <row r="36" spans="1:20">
      <c r="B36" s="463" t="s">
        <v>428</v>
      </c>
      <c r="C36" s="460"/>
      <c r="D36" s="460"/>
      <c r="E36" s="460"/>
      <c r="F36" s="460"/>
      <c r="G36" s="460"/>
      <c r="H36" s="460"/>
      <c r="I36" s="462">
        <f>AVERAGE(V6:V15)</f>
        <v>1.8666129826402549</v>
      </c>
      <c r="J36" s="462">
        <f>AVERAGE(W6:W15)</f>
        <v>1.4652938500044725</v>
      </c>
      <c r="K36" s="462">
        <f t="shared" ref="K36:S36" si="15">AVERAGE(X6:X15)</f>
        <v>1.3337000842572366</v>
      </c>
      <c r="L36" s="462"/>
      <c r="M36" s="462">
        <f t="shared" si="15"/>
        <v>9.6607070051812229</v>
      </c>
      <c r="N36" s="462">
        <f t="shared" si="15"/>
        <v>7.4112938500044736</v>
      </c>
      <c r="O36" s="462">
        <f t="shared" si="15"/>
        <v>6.5737000842572373</v>
      </c>
      <c r="P36" s="462"/>
      <c r="Q36" s="462">
        <f t="shared" si="15"/>
        <v>20.877608464615584</v>
      </c>
      <c r="R36" s="462">
        <f t="shared" ca="1" si="15"/>
        <v>16.244536836038435</v>
      </c>
      <c r="S36" s="462">
        <f t="shared" ca="1" si="15"/>
        <v>13.741078794958771</v>
      </c>
      <c r="T36" s="460"/>
    </row>
    <row r="37" spans="1:20">
      <c r="B37" s="461" t="s">
        <v>520</v>
      </c>
      <c r="C37" s="460"/>
      <c r="D37" s="460"/>
      <c r="E37" s="460"/>
      <c r="F37" s="460"/>
      <c r="G37" s="460"/>
      <c r="H37" s="460"/>
      <c r="I37" s="21">
        <f>I36*I$48</f>
        <v>8537.5144599999985</v>
      </c>
      <c r="J37" s="21">
        <f>J36*J$48</f>
        <v>8126.3763913741705</v>
      </c>
      <c r="K37" s="21">
        <f t="shared" ref="K37:S37" si="16">K36*K$48</f>
        <v>8620.2676040737915</v>
      </c>
      <c r="L37" s="21"/>
      <c r="M37" s="21">
        <f t="shared" si="16"/>
        <v>7798.1832572698358</v>
      </c>
      <c r="N37" s="21">
        <f t="shared" si="16"/>
        <v>41102.310892814508</v>
      </c>
      <c r="O37" s="21">
        <f t="shared" si="16"/>
        <v>42488.603355512867</v>
      </c>
      <c r="P37" s="21"/>
      <c r="Q37" s="21">
        <f t="shared" si="16"/>
        <v>3560.3894525831815</v>
      </c>
      <c r="R37" s="21">
        <f t="shared" ca="1" si="16"/>
        <v>2328.4550293841608</v>
      </c>
      <c r="S37" s="21">
        <f t="shared" ca="1" si="16"/>
        <v>4847.1073946586057</v>
      </c>
      <c r="T37" s="460"/>
    </row>
    <row r="38" spans="1:20" s="11" customFormat="1">
      <c r="B38" s="459" t="s">
        <v>536</v>
      </c>
      <c r="C38" s="457"/>
      <c r="D38" s="457"/>
      <c r="E38" s="457"/>
      <c r="F38" s="457"/>
      <c r="G38" s="457"/>
      <c r="H38" s="457"/>
      <c r="I38" s="458">
        <f>(I37-I$49+I$50)/'DCF Analysis'!$C$3</f>
        <v>10.353892962766357</v>
      </c>
      <c r="J38" s="458">
        <f ca="1">(J37-J$49+J$50)/'DCF Analysis'!$C$3</f>
        <v>9.7561731279033896</v>
      </c>
      <c r="K38" s="458">
        <f ca="1">(K37-K$49+K$50)/'DCF Analysis'!$C$3</f>
        <v>10.661635349962259</v>
      </c>
      <c r="L38" s="458"/>
      <c r="M38" s="458">
        <f>(M37-M$49+M$50)/'DCF Analysis'!$C$3</f>
        <v>8.9522640806662537</v>
      </c>
      <c r="N38" s="458">
        <f>(N37-N$49+N$50)/'DCF Analysis'!$C$3</f>
        <v>72.272163310356447</v>
      </c>
      <c r="O38" s="458">
        <f>(O37-O$49+O$50)/'DCF Analysis'!$C$3</f>
        <v>74.869445601420281</v>
      </c>
      <c r="P38" s="458"/>
      <c r="Q38" s="458">
        <f>(Q37-Q$49+Q$50)/'DCF Analysis'!$C$3</f>
        <v>0.91822714147111062</v>
      </c>
      <c r="R38" s="458">
        <f ca="1">(R37-R$49+R$50)/'DCF Analysis'!$C$3</f>
        <v>-1.2355637379304034</v>
      </c>
      <c r="S38" s="458">
        <f ca="1">(S37-S$49+S$50)/'DCF Analysis'!$C$3</f>
        <v>3.5084537896847401</v>
      </c>
      <c r="T38" s="457"/>
    </row>
    <row r="39" spans="1:20">
      <c r="B39" s="456" t="s">
        <v>537</v>
      </c>
      <c r="C39" s="363"/>
      <c r="D39" s="363"/>
      <c r="E39" s="363"/>
      <c r="F39" s="363"/>
      <c r="G39" s="363"/>
      <c r="H39" s="363"/>
      <c r="I39" s="455">
        <f>_xlfn.QUARTILE.EXC(V6:V15,3)</f>
        <v>2.307097369801915</v>
      </c>
      <c r="J39" s="455">
        <f>_xlfn.QUARTILE.EXC(W6:W15,3)</f>
        <v>1.8222038750335452</v>
      </c>
      <c r="K39" s="455">
        <f t="shared" ref="K39:S39" si="17">_xlfn.QUARTILE.EXC(X6:X15,3)</f>
        <v>1.6975</v>
      </c>
      <c r="L39" s="455"/>
      <c r="M39" s="455">
        <f t="shared" si="17"/>
        <v>12.044267512953061</v>
      </c>
      <c r="N39" s="455">
        <f t="shared" si="17"/>
        <v>9.5150000000000006</v>
      </c>
      <c r="O39" s="455">
        <f t="shared" si="17"/>
        <v>8.3175000000000008</v>
      </c>
      <c r="P39" s="455"/>
      <c r="Q39" s="455">
        <f t="shared" si="17"/>
        <v>33.002499999999998</v>
      </c>
      <c r="R39" s="455">
        <f t="shared" ca="1" si="17"/>
        <v>20.9</v>
      </c>
      <c r="S39" s="455">
        <f t="shared" ca="1" si="17"/>
        <v>16.062696987396926</v>
      </c>
      <c r="T39" s="363"/>
    </row>
    <row r="40" spans="1:20">
      <c r="B40" s="454" t="s">
        <v>520</v>
      </c>
      <c r="C40" s="363"/>
      <c r="D40" s="363"/>
      <c r="E40" s="363"/>
      <c r="F40" s="363"/>
      <c r="G40" s="363"/>
      <c r="H40" s="363"/>
      <c r="I40" s="453">
        <f>I39*I$48</f>
        <v>10552.201949999999</v>
      </c>
      <c r="J40" s="453">
        <f>J39*J$48</f>
        <v>10105.76448559989</v>
      </c>
      <c r="K40" s="453">
        <f t="shared" ref="K40:S40" si="18">K39*K$48</f>
        <v>10971.660293524395</v>
      </c>
      <c r="L40" s="453"/>
      <c r="M40" s="453">
        <f t="shared" si="18"/>
        <v>9722.2082416138528</v>
      </c>
      <c r="N40" s="453">
        <f t="shared" si="18"/>
        <v>52769.259465389296</v>
      </c>
      <c r="O40" s="453">
        <f t="shared" si="18"/>
        <v>53759.519582556204</v>
      </c>
      <c r="P40" s="453"/>
      <c r="Q40" s="453">
        <f t="shared" si="18"/>
        <v>5628.1232167000499</v>
      </c>
      <c r="R40" s="453">
        <f t="shared" ca="1" si="18"/>
        <v>2995.7585498015869</v>
      </c>
      <c r="S40" s="453">
        <f t="shared" ca="1" si="18"/>
        <v>5666.0483872879031</v>
      </c>
      <c r="T40" s="363"/>
    </row>
    <row r="41" spans="1:20" s="11" customFormat="1">
      <c r="B41" s="452" t="s">
        <v>536</v>
      </c>
      <c r="C41" s="362"/>
      <c r="D41" s="362"/>
      <c r="E41" s="362"/>
      <c r="F41" s="362"/>
      <c r="G41" s="362"/>
      <c r="H41" s="362"/>
      <c r="I41" s="451">
        <f>(I40-I$49+I$50)/'DCF Analysis'!$C$3</f>
        <v>14.173350553575489</v>
      </c>
      <c r="J41" s="451">
        <f ca="1">(J40-J$49+J$50)/'DCF Analysis'!$C$3</f>
        <v>13.508709895602108</v>
      </c>
      <c r="K41" s="451">
        <f ca="1">(K40-K$49+K$50)/'DCF Analysis'!$C$3</f>
        <v>15.119420838417941</v>
      </c>
      <c r="L41" s="451"/>
      <c r="M41" s="451">
        <f>(M40-M$49+M$50)/'DCF Analysis'!$C$3</f>
        <v>12.599843106115593</v>
      </c>
      <c r="N41" s="451">
        <f>(N40-N$49+N$50)/'DCF Analysis'!$C$3</f>
        <v>94.390439970276802</v>
      </c>
      <c r="O41" s="451">
        <f>(O40-O$49+O$50)/'DCF Analysis'!$C$3</f>
        <v>96.236921575946965</v>
      </c>
      <c r="P41" s="451"/>
      <c r="Q41" s="451">
        <f>(Q40-Q$49+Q$50)/'DCF Analysis'!$C$3</f>
        <v>4.8382502022826452</v>
      </c>
      <c r="R41" s="451">
        <f ca="1">(R40-R$49+R$50)/'DCF Analysis'!$C$3</f>
        <v>2.9514597584547279E-2</v>
      </c>
      <c r="S41" s="451">
        <f ca="1">(S40-S$49+S$50)/'DCF Analysis'!$C$3</f>
        <v>5.0610074270345864</v>
      </c>
      <c r="T41" s="362"/>
    </row>
    <row r="42" spans="1:20">
      <c r="B42" s="450" t="s">
        <v>535</v>
      </c>
      <c r="I42" s="449">
        <f>MAX(V6:V15)</f>
        <v>3.24</v>
      </c>
      <c r="J42" s="449">
        <f>MAX(W6:W15)</f>
        <v>2.0099999999999998</v>
      </c>
      <c r="K42" s="449">
        <f t="shared" ref="K42:S42" si="19">MAX(X6:X15)</f>
        <v>1.75</v>
      </c>
      <c r="L42" s="449"/>
      <c r="M42" s="449">
        <f t="shared" si="19"/>
        <v>13.38</v>
      </c>
      <c r="N42" s="449">
        <f t="shared" si="19"/>
        <v>9.92</v>
      </c>
      <c r="O42" s="449">
        <f t="shared" si="19"/>
        <v>8.9600000000000009</v>
      </c>
      <c r="P42" s="449"/>
      <c r="Q42" s="449">
        <f t="shared" si="19"/>
        <v>36.096084646155859</v>
      </c>
      <c r="R42" s="449">
        <f t="shared" ca="1" si="19"/>
        <v>42.945368360384357</v>
      </c>
      <c r="S42" s="449">
        <f t="shared" ca="1" si="19"/>
        <v>18.100000000000001</v>
      </c>
    </row>
    <row r="43" spans="1:20">
      <c r="A43" s="447"/>
      <c r="B43" s="448" t="s">
        <v>520</v>
      </c>
      <c r="I43" s="17">
        <f>I42*I$48</f>
        <v>14819.112000000001</v>
      </c>
      <c r="J43" s="17">
        <f>J42*J$48</f>
        <v>11147.263428842089</v>
      </c>
      <c r="K43" s="17">
        <f t="shared" ref="K43:S43" si="20">K42*K$48</f>
        <v>11310.989993324118</v>
      </c>
      <c r="L43" s="17"/>
      <c r="M43" s="17">
        <f t="shared" si="20"/>
        <v>10800.419878825745</v>
      </c>
      <c r="N43" s="17">
        <f t="shared" si="20"/>
        <v>55015.34985776792</v>
      </c>
      <c r="O43" s="17">
        <f t="shared" si="20"/>
        <v>57912.268765819492</v>
      </c>
      <c r="P43" s="17"/>
      <c r="Q43" s="17">
        <f t="shared" si="20"/>
        <v>6155.6916000000001</v>
      </c>
      <c r="R43" s="17">
        <f t="shared" ca="1" si="20"/>
        <v>6155.6916000000001</v>
      </c>
      <c r="S43" s="17">
        <f t="shared" ca="1" si="20"/>
        <v>6384.6984034112002</v>
      </c>
    </row>
    <row r="44" spans="1:20">
      <c r="A44" s="447"/>
      <c r="B44" s="446"/>
      <c r="C44" s="27"/>
      <c r="D44" s="27"/>
      <c r="E44" s="27"/>
      <c r="F44" s="27"/>
      <c r="G44" s="27"/>
      <c r="H44" s="27"/>
      <c r="I44" s="489"/>
      <c r="J44" s="445"/>
      <c r="K44" s="445"/>
      <c r="L44" s="27"/>
      <c r="M44" s="445"/>
      <c r="N44" s="445"/>
      <c r="O44" s="445"/>
      <c r="P44" s="27"/>
      <c r="Q44" s="445"/>
      <c r="R44" s="445"/>
      <c r="S44" s="445"/>
      <c r="T44" s="27"/>
    </row>
    <row r="46" spans="1:20">
      <c r="B46" s="11"/>
      <c r="I46" s="530" t="s">
        <v>534</v>
      </c>
      <c r="J46" s="530"/>
      <c r="K46" s="530"/>
      <c r="L46" s="7"/>
      <c r="M46" s="530" t="s">
        <v>29</v>
      </c>
      <c r="N46" s="530"/>
      <c r="O46" s="530"/>
      <c r="P46" s="7"/>
      <c r="Q46" s="530" t="s">
        <v>533</v>
      </c>
      <c r="R46" s="530"/>
      <c r="S46" s="530"/>
    </row>
    <row r="47" spans="1:20">
      <c r="I47" s="6" t="s">
        <v>532</v>
      </c>
      <c r="J47" s="6" t="s">
        <v>531</v>
      </c>
      <c r="K47" s="6" t="s">
        <v>530</v>
      </c>
      <c r="L47" s="6"/>
      <c r="M47" s="6" t="s">
        <v>532</v>
      </c>
      <c r="N47" s="6" t="s">
        <v>531</v>
      </c>
      <c r="O47" s="6" t="s">
        <v>530</v>
      </c>
      <c r="P47" s="6"/>
      <c r="Q47" s="6" t="s">
        <v>532</v>
      </c>
      <c r="R47" s="6" t="s">
        <v>531</v>
      </c>
      <c r="S47" s="6" t="s">
        <v>530</v>
      </c>
    </row>
    <row r="48" spans="1:20">
      <c r="B48" s="444" t="s">
        <v>431</v>
      </c>
      <c r="C48" s="443"/>
      <c r="D48" s="443"/>
      <c r="E48" s="443"/>
      <c r="F48" s="443"/>
      <c r="G48" s="443"/>
      <c r="H48" s="443"/>
      <c r="I48" s="442">
        <f>SUM(IS!Q8:S8,IS!U8)</f>
        <v>4573.8</v>
      </c>
      <c r="J48" s="442">
        <f>IS!Y8</f>
        <v>5545.9022034040245</v>
      </c>
      <c r="K48" s="442">
        <f>IS!Z8</f>
        <v>6463.4228533280675</v>
      </c>
      <c r="L48" s="442"/>
      <c r="M48" s="442">
        <f>SUM(IS!Q22:S22,IS!U22)</f>
        <v>807.20626897053398</v>
      </c>
      <c r="N48" s="442">
        <f>IS!Y8</f>
        <v>5545.9022034040245</v>
      </c>
      <c r="O48" s="442">
        <f>IS!Z8</f>
        <v>6463.4228533280675</v>
      </c>
      <c r="P48" s="442"/>
      <c r="Q48" s="442">
        <f>SUM(IS!Q32:S32,IS!U32)</f>
        <v>170.53626897053405</v>
      </c>
      <c r="R48" s="442">
        <f ca="1">IS!Y32</f>
        <v>143.33772965557833</v>
      </c>
      <c r="S48" s="442">
        <f ca="1">IS!Z32</f>
        <v>352.74576814426518</v>
      </c>
    </row>
    <row r="49" spans="1:20">
      <c r="B49" t="s">
        <v>529</v>
      </c>
      <c r="I49" s="241">
        <f>BS!Q24+BS!Q29+BS!Q32+BS!Q34</f>
        <v>3846.6570000000002</v>
      </c>
      <c r="J49" s="241">
        <f>BS!U24+BS!U29+BS!U32+BS!U34</f>
        <v>3893.745131386861</v>
      </c>
      <c r="K49" s="241">
        <f>BS!V24+BS!V29+BS!V32+BS!V34</f>
        <v>3932.985240875912</v>
      </c>
      <c r="L49" s="241"/>
      <c r="M49" s="241">
        <v>3846.6570000000002</v>
      </c>
      <c r="N49" s="241">
        <v>3893.745131386861</v>
      </c>
      <c r="O49" s="241">
        <v>3932.985240875912</v>
      </c>
      <c r="P49" s="241"/>
      <c r="Q49" s="241">
        <v>3846.6570000000002</v>
      </c>
      <c r="R49" s="241">
        <v>3893.745131386861</v>
      </c>
      <c r="S49" s="241">
        <v>3932.985240875912</v>
      </c>
      <c r="T49" s="241"/>
    </row>
    <row r="50" spans="1:20">
      <c r="B50" t="s">
        <v>528</v>
      </c>
      <c r="I50" s="241">
        <f>BS!Q7</f>
        <v>770.61400000000003</v>
      </c>
      <c r="J50" s="241">
        <f ca="1">BS!U7</f>
        <v>913.55494151917105</v>
      </c>
      <c r="K50" s="241">
        <f ca="1">BS!V7</f>
        <v>936.51705120021302</v>
      </c>
      <c r="L50" s="241"/>
      <c r="M50" s="241">
        <v>770.61400000000003</v>
      </c>
      <c r="N50" s="241">
        <v>913.55494151917105</v>
      </c>
      <c r="O50" s="241">
        <v>936.51705120021302</v>
      </c>
      <c r="P50" s="241"/>
      <c r="Q50" s="241">
        <v>770.61400000000003</v>
      </c>
      <c r="R50" s="241">
        <v>913.55494151917105</v>
      </c>
      <c r="S50" s="241">
        <v>936.51705120021302</v>
      </c>
      <c r="T50" s="241"/>
    </row>
    <row r="53" spans="1:20">
      <c r="A53" s="488" t="s">
        <v>527</v>
      </c>
      <c r="B53" s="488" t="s">
        <v>526</v>
      </c>
    </row>
    <row r="54" spans="1:20">
      <c r="A54" s="488" t="s">
        <v>525</v>
      </c>
      <c r="B54" s="488" t="s">
        <v>524</v>
      </c>
    </row>
    <row r="55" spans="1:20">
      <c r="A55" s="488" t="s">
        <v>523</v>
      </c>
      <c r="B55" s="488" t="s">
        <v>522</v>
      </c>
    </row>
    <row r="56" spans="1:20">
      <c r="A56" s="488" t="s">
        <v>521</v>
      </c>
      <c r="B56" s="488" t="s">
        <v>520</v>
      </c>
    </row>
    <row r="57" spans="1:20">
      <c r="A57" s="488" t="s">
        <v>519</v>
      </c>
      <c r="B57" s="488" t="s">
        <v>518</v>
      </c>
    </row>
    <row r="60" spans="1:20">
      <c r="C60" s="441"/>
    </row>
    <row r="62" spans="1:20">
      <c r="B62" t="s">
        <v>517</v>
      </c>
    </row>
    <row r="63" spans="1:20">
      <c r="B63" t="s">
        <v>516</v>
      </c>
    </row>
    <row r="65" spans="2:2">
      <c r="B65" t="s">
        <v>515</v>
      </c>
    </row>
    <row r="66" spans="2:2">
      <c r="B66" t="s">
        <v>514</v>
      </c>
    </row>
    <row r="68" spans="2:2">
      <c r="B68" t="s">
        <v>513</v>
      </c>
    </row>
    <row r="69" spans="2:2">
      <c r="B69" t="s">
        <v>512</v>
      </c>
    </row>
    <row r="71" spans="2:2">
      <c r="B71" t="s">
        <v>511</v>
      </c>
    </row>
    <row r="73" spans="2:2">
      <c r="B73" s="11" t="s">
        <v>510</v>
      </c>
    </row>
    <row r="75" spans="2:2">
      <c r="B75" t="s">
        <v>509</v>
      </c>
    </row>
  </sheetData>
  <sheetProtection selectLockedCells="1" selectUnlockedCells="1"/>
  <mergeCells count="17">
    <mergeCell ref="A4:B5"/>
    <mergeCell ref="I4:K4"/>
    <mergeCell ref="M4:O4"/>
    <mergeCell ref="Q4:S4"/>
    <mergeCell ref="A14:B15"/>
    <mergeCell ref="I14:K14"/>
    <mergeCell ref="M14:O14"/>
    <mergeCell ref="Q14:S14"/>
    <mergeCell ref="Z4:AB4"/>
    <mergeCell ref="AD4:AF4"/>
    <mergeCell ref="I46:K46"/>
    <mergeCell ref="M46:O46"/>
    <mergeCell ref="Q46:S46"/>
    <mergeCell ref="I25:K25"/>
    <mergeCell ref="M25:O25"/>
    <mergeCell ref="Q25:S25"/>
    <mergeCell ref="V4:X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1111-A4FD-44A4-89BF-A3B9A0F07753}">
  <sheetPr>
    <tabColor rgb="FF008A83"/>
  </sheetPr>
  <dimension ref="A4:J24"/>
  <sheetViews>
    <sheetView showGridLines="0" zoomScaleNormal="100" workbookViewId="0">
      <selection activeCell="E23" sqref="E23"/>
    </sheetView>
  </sheetViews>
  <sheetFormatPr defaultRowHeight="14.4"/>
  <cols>
    <col min="2" max="2" width="40.21875" bestFit="1" customWidth="1"/>
    <col min="5" max="5" width="11" bestFit="1" customWidth="1"/>
    <col min="8" max="8" width="10.88671875" bestFit="1" customWidth="1"/>
    <col min="10" max="10" width="10.6640625" customWidth="1"/>
  </cols>
  <sheetData>
    <row r="4" spans="1:10">
      <c r="A4" s="7"/>
      <c r="B4" s="30" t="s">
        <v>461</v>
      </c>
      <c r="C4" s="7"/>
      <c r="D4" s="6"/>
      <c r="E4" s="6"/>
      <c r="F4" s="6"/>
      <c r="G4" s="6"/>
      <c r="H4" s="6"/>
      <c r="I4" s="6"/>
      <c r="J4" s="6"/>
    </row>
    <row r="5" spans="1:10">
      <c r="A5" s="363"/>
      <c r="B5" s="362" t="s">
        <v>460</v>
      </c>
      <c r="C5" s="361" t="s">
        <v>447</v>
      </c>
      <c r="D5" s="361" t="s">
        <v>446</v>
      </c>
      <c r="E5" s="361" t="s">
        <v>445</v>
      </c>
      <c r="F5" s="361" t="s">
        <v>417</v>
      </c>
      <c r="G5" s="361" t="s">
        <v>444</v>
      </c>
      <c r="H5" s="361" t="s">
        <v>443</v>
      </c>
      <c r="I5" s="361" t="s">
        <v>415</v>
      </c>
      <c r="J5" s="361" t="s">
        <v>442</v>
      </c>
    </row>
    <row r="6" spans="1:10">
      <c r="B6" t="s">
        <v>459</v>
      </c>
      <c r="C6" s="5" t="s">
        <v>458</v>
      </c>
      <c r="D6" s="5" t="s">
        <v>449</v>
      </c>
      <c r="E6" s="5">
        <f>1.62</f>
        <v>1.62</v>
      </c>
      <c r="F6" s="340">
        <v>0.21</v>
      </c>
      <c r="G6" s="93">
        <f>40.74</f>
        <v>40.74</v>
      </c>
      <c r="H6" s="93">
        <v>74.5</v>
      </c>
      <c r="I6" s="359">
        <f>G6/H6</f>
        <v>0.5468456375838926</v>
      </c>
      <c r="J6" s="359">
        <f>E6/(1+(1-F6)*I6)</f>
        <v>1.1312785537931436</v>
      </c>
    </row>
    <row r="7" spans="1:10">
      <c r="B7" t="s">
        <v>457</v>
      </c>
      <c r="C7" s="5" t="s">
        <v>456</v>
      </c>
      <c r="D7" s="5" t="s">
        <v>449</v>
      </c>
      <c r="E7" s="5">
        <v>1.27</v>
      </c>
      <c r="F7" s="340">
        <v>0.21</v>
      </c>
      <c r="G7" s="93">
        <v>5.18</v>
      </c>
      <c r="H7" s="81">
        <v>9.5559999999999992</v>
      </c>
      <c r="I7" s="359">
        <f>G7/H7</f>
        <v>0.54206781079949773</v>
      </c>
      <c r="J7" s="81">
        <f>E7/(1+(1-F7)*I7)</f>
        <v>0.88921029879398017</v>
      </c>
    </row>
    <row r="8" spans="1:10">
      <c r="B8" t="s">
        <v>455</v>
      </c>
      <c r="C8" s="5" t="s">
        <v>454</v>
      </c>
      <c r="D8" s="5" t="s">
        <v>449</v>
      </c>
      <c r="E8" s="5">
        <v>2.12</v>
      </c>
      <c r="F8" s="340">
        <v>0.21</v>
      </c>
      <c r="G8" s="93">
        <v>15.05</v>
      </c>
      <c r="H8" s="81">
        <v>7.5780000000000003</v>
      </c>
      <c r="I8" s="359">
        <f>G8/H8</f>
        <v>1.9860121404064397</v>
      </c>
      <c r="J8" s="81">
        <f>E8/(1+(1-F8)*I8)</f>
        <v>0.82524001541029934</v>
      </c>
    </row>
    <row r="9" spans="1:10">
      <c r="B9" t="s">
        <v>453</v>
      </c>
      <c r="C9" s="5" t="s">
        <v>452</v>
      </c>
      <c r="D9" s="5" t="s">
        <v>449</v>
      </c>
      <c r="E9" s="5">
        <v>0.95</v>
      </c>
      <c r="F9" s="340">
        <v>0.21</v>
      </c>
      <c r="G9" s="93">
        <v>2.94</v>
      </c>
      <c r="H9" s="81">
        <v>7.02</v>
      </c>
      <c r="I9" s="359">
        <f>G9/H9</f>
        <v>0.41880341880341881</v>
      </c>
      <c r="J9" s="81">
        <f>E9/(1+(1-F9)*I9)</f>
        <v>0.71382698606383654</v>
      </c>
    </row>
    <row r="10" spans="1:10">
      <c r="B10" t="s">
        <v>451</v>
      </c>
      <c r="C10" s="5" t="s">
        <v>450</v>
      </c>
      <c r="D10" s="5" t="s">
        <v>449</v>
      </c>
      <c r="E10" s="5">
        <v>1.39</v>
      </c>
      <c r="F10" s="340">
        <v>0.21</v>
      </c>
      <c r="G10" s="93">
        <v>5.18</v>
      </c>
      <c r="H10" s="81">
        <v>3.8</v>
      </c>
      <c r="I10" s="359">
        <f>G10/H10</f>
        <v>1.3631578947368421</v>
      </c>
      <c r="J10" s="81">
        <f>E10/(1+(1-F10)*I10)</f>
        <v>0.6692683915764932</v>
      </c>
    </row>
    <row r="11" spans="1:10">
      <c r="C11" s="5"/>
      <c r="D11" s="5"/>
      <c r="E11" s="5"/>
      <c r="F11" s="5"/>
      <c r="G11" s="5"/>
      <c r="H11" s="5"/>
      <c r="I11" s="177"/>
      <c r="J11" s="5"/>
    </row>
    <row r="12" spans="1:10">
      <c r="A12" s="363"/>
      <c r="B12" s="362" t="s">
        <v>448</v>
      </c>
      <c r="C12" s="361" t="s">
        <v>447</v>
      </c>
      <c r="D12" s="361" t="s">
        <v>446</v>
      </c>
      <c r="E12" s="361" t="s">
        <v>445</v>
      </c>
      <c r="F12" s="361" t="s">
        <v>417</v>
      </c>
      <c r="G12" s="361" t="s">
        <v>444</v>
      </c>
      <c r="H12" s="361" t="s">
        <v>443</v>
      </c>
      <c r="I12" s="361" t="s">
        <v>415</v>
      </c>
      <c r="J12" s="361" t="s">
        <v>442</v>
      </c>
    </row>
    <row r="13" spans="1:10">
      <c r="B13" t="s">
        <v>441</v>
      </c>
      <c r="C13" s="5" t="s">
        <v>440</v>
      </c>
      <c r="D13" s="5" t="s">
        <v>314</v>
      </c>
      <c r="E13" s="81">
        <v>0.7</v>
      </c>
      <c r="F13" s="177">
        <v>0.34</v>
      </c>
      <c r="G13" s="81">
        <v>39.200000000000003</v>
      </c>
      <c r="H13" s="93">
        <v>77.875</v>
      </c>
      <c r="I13" s="81">
        <f t="shared" ref="I13:I18" si="0">G13/H13</f>
        <v>0.50337078651685396</v>
      </c>
      <c r="J13" s="81">
        <f t="shared" ref="J13:J18" si="1">E13/(1+(1-F13)*I13)</f>
        <v>0.52543688010255718</v>
      </c>
    </row>
    <row r="14" spans="1:10">
      <c r="B14" t="s">
        <v>439</v>
      </c>
      <c r="C14" s="5" t="s">
        <v>438</v>
      </c>
      <c r="D14" s="5" t="s">
        <v>314</v>
      </c>
      <c r="E14" s="81">
        <v>0.48199999999999998</v>
      </c>
      <c r="F14" s="340">
        <v>0.34</v>
      </c>
      <c r="G14" s="93">
        <v>2.4182329999999999</v>
      </c>
      <c r="H14" s="360">
        <v>8.64</v>
      </c>
      <c r="I14" s="359">
        <f t="shared" si="0"/>
        <v>0.27988807870370369</v>
      </c>
      <c r="J14" s="81">
        <f t="shared" si="1"/>
        <v>0.40684508174805967</v>
      </c>
    </row>
    <row r="15" spans="1:10">
      <c r="B15" t="s">
        <v>437</v>
      </c>
      <c r="C15" s="5" t="s">
        <v>436</v>
      </c>
      <c r="D15" s="5" t="s">
        <v>314</v>
      </c>
      <c r="E15" s="81">
        <v>0.56999999999999995</v>
      </c>
      <c r="F15" s="340">
        <v>0.34</v>
      </c>
      <c r="G15" s="93">
        <v>3.6899999999999995</v>
      </c>
      <c r="H15" s="93">
        <v>5.3109999999999999</v>
      </c>
      <c r="I15" s="359">
        <f t="shared" si="0"/>
        <v>0.69478440971568434</v>
      </c>
      <c r="J15" s="81">
        <f t="shared" si="1"/>
        <v>0.39079701538779305</v>
      </c>
    </row>
    <row r="16" spans="1:10">
      <c r="B16" t="s">
        <v>435</v>
      </c>
      <c r="C16" s="5" t="s">
        <v>434</v>
      </c>
      <c r="D16" s="5" t="s">
        <v>314</v>
      </c>
      <c r="E16" s="81">
        <v>0.32</v>
      </c>
      <c r="F16" s="340">
        <v>0.34</v>
      </c>
      <c r="G16" s="93">
        <v>1.9804569999999999</v>
      </c>
      <c r="H16" s="360">
        <v>4.0339999999999998</v>
      </c>
      <c r="I16" s="359">
        <f t="shared" si="0"/>
        <v>0.49094124938026773</v>
      </c>
      <c r="J16" s="81">
        <f t="shared" si="1"/>
        <v>0.24168796848317597</v>
      </c>
    </row>
    <row r="17" spans="2:10">
      <c r="B17" t="s">
        <v>433</v>
      </c>
      <c r="C17" s="5" t="s">
        <v>432</v>
      </c>
      <c r="D17" s="5" t="s">
        <v>314</v>
      </c>
      <c r="E17" s="81">
        <v>0.72</v>
      </c>
      <c r="F17" s="340">
        <v>0.34</v>
      </c>
      <c r="G17" s="93">
        <v>1.335223</v>
      </c>
      <c r="H17" s="360">
        <v>2.677</v>
      </c>
      <c r="I17" s="359">
        <f t="shared" si="0"/>
        <v>0.4987758685095256</v>
      </c>
      <c r="J17" s="81">
        <f t="shared" si="1"/>
        <v>0.5416824359009258</v>
      </c>
    </row>
    <row r="18" spans="2:10">
      <c r="B18" s="358" t="s">
        <v>431</v>
      </c>
      <c r="C18" s="357" t="s">
        <v>430</v>
      </c>
      <c r="D18" s="357" t="s">
        <v>314</v>
      </c>
      <c r="E18" s="485">
        <v>1.21183743952589</v>
      </c>
      <c r="F18" s="356">
        <v>0.34</v>
      </c>
      <c r="G18" s="355">
        <f>[2]BS!Q55/1000</f>
        <v>3.846657</v>
      </c>
      <c r="H18" s="354">
        <f>'DCF Analysis'!C2*'DCF Analysis'!C3/1000</f>
        <v>6.1556915999999999</v>
      </c>
      <c r="I18" s="353">
        <f t="shared" si="0"/>
        <v>0.62489436605303617</v>
      </c>
      <c r="J18" s="352">
        <f t="shared" si="1"/>
        <v>0.85798035861806077</v>
      </c>
    </row>
    <row r="20" spans="2:10">
      <c r="B20" s="427" t="s">
        <v>429</v>
      </c>
      <c r="C20" s="428"/>
      <c r="D20" s="429"/>
      <c r="E20" s="426">
        <f t="shared" ref="E20:H20" si="2">MEDIAN(E13:E18,E6:E10)</f>
        <v>0.95</v>
      </c>
      <c r="F20" s="426">
        <f t="shared" si="2"/>
        <v>0.34</v>
      </c>
      <c r="G20" s="426">
        <f t="shared" si="2"/>
        <v>3.846657</v>
      </c>
      <c r="H20" s="426">
        <f t="shared" si="2"/>
        <v>7.02</v>
      </c>
      <c r="I20" s="426">
        <f>MEDIAN(I13:I18,I6:I10)</f>
        <v>0.54206781079949773</v>
      </c>
      <c r="J20" s="426">
        <f>MEDIAN(J13:J18,J6:J10)</f>
        <v>0.6692683915764932</v>
      </c>
    </row>
    <row r="21" spans="2:10">
      <c r="B21" s="427" t="s">
        <v>428</v>
      </c>
      <c r="C21" s="428"/>
      <c r="D21" s="429"/>
      <c r="E21" s="426">
        <f t="shared" ref="E21:I21" si="3">AVERAGE(E13:E18,E6:E10)</f>
        <v>1.0321670399568992</v>
      </c>
      <c r="F21" s="426">
        <f t="shared" si="3"/>
        <v>0.28090909090909089</v>
      </c>
      <c r="G21" s="426">
        <f t="shared" si="3"/>
        <v>11.050960909090907</v>
      </c>
      <c r="H21" s="426">
        <f t="shared" si="3"/>
        <v>18.831517418181821</v>
      </c>
      <c r="I21" s="426">
        <f t="shared" si="3"/>
        <v>0.72268560556446937</v>
      </c>
      <c r="J21" s="431">
        <f>AVERAGE(J13:J18,J6:J10)</f>
        <v>0.65393218053439339</v>
      </c>
    </row>
    <row r="23" spans="2:10" ht="72">
      <c r="B23" s="486" t="s">
        <v>574</v>
      </c>
    </row>
    <row r="24" spans="2:10">
      <c r="B24" s="487" t="s">
        <v>573</v>
      </c>
    </row>
  </sheetData>
  <hyperlinks>
    <hyperlink ref="B24" r:id="rId1" xr:uid="{74CE5DC2-5412-4EA6-80B9-A57C9F53CF41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5718-7DA0-47C4-8365-A1A21D50F469}">
  <sheetPr>
    <tabColor rgb="FF00D2C8"/>
  </sheetPr>
  <dimension ref="A1:AJ122"/>
  <sheetViews>
    <sheetView showGridLines="0" workbookViewId="0">
      <selection activeCell="T20" sqref="T20"/>
    </sheetView>
  </sheetViews>
  <sheetFormatPr defaultRowHeight="14.4" outlineLevelCol="1"/>
  <cols>
    <col min="1" max="1" width="2.5546875" customWidth="1"/>
    <col min="2" max="2" width="30.44140625" customWidth="1"/>
    <col min="3" max="3" width="11.44140625" style="5" customWidth="1"/>
    <col min="4" max="4" width="6.6640625" customWidth="1"/>
    <col min="5" max="5" width="41.5546875" customWidth="1"/>
    <col min="6" max="6" width="0" hidden="1" customWidth="1" outlineLevel="1"/>
    <col min="7" max="7" width="10.6640625" hidden="1" customWidth="1" outlineLevel="1"/>
    <col min="8" max="8" width="0" hidden="1" customWidth="1" outlineLevel="1"/>
    <col min="9" max="9" width="12.109375" bestFit="1" customWidth="1" collapsed="1"/>
    <col min="10" max="10" width="13.6640625" bestFit="1" customWidth="1"/>
    <col min="11" max="19" width="12.109375" bestFit="1" customWidth="1"/>
    <col min="20" max="20" width="13.44140625" customWidth="1"/>
    <col min="22" max="22" width="6" customWidth="1"/>
    <col min="23" max="23" width="12.109375" customWidth="1"/>
    <col min="26" max="26" width="9.5546875" bestFit="1" customWidth="1"/>
    <col min="27" max="33" width="11.33203125" bestFit="1" customWidth="1"/>
  </cols>
  <sheetData>
    <row r="1" spans="2:33">
      <c r="B1" s="533" t="s">
        <v>488</v>
      </c>
      <c r="C1" s="533"/>
      <c r="E1" s="30" t="s">
        <v>487</v>
      </c>
      <c r="F1" s="2">
        <v>2019</v>
      </c>
      <c r="G1" s="2">
        <v>2020</v>
      </c>
      <c r="H1" s="2">
        <v>2021</v>
      </c>
      <c r="I1" s="2">
        <v>2022</v>
      </c>
      <c r="J1" s="386">
        <v>2023</v>
      </c>
      <c r="K1" s="386">
        <v>2024</v>
      </c>
      <c r="L1" s="386">
        <v>2025</v>
      </c>
      <c r="M1" s="386">
        <v>2026</v>
      </c>
      <c r="N1" s="386">
        <v>2027</v>
      </c>
      <c r="O1" s="386">
        <v>2028</v>
      </c>
      <c r="P1" s="386">
        <v>2029</v>
      </c>
      <c r="Q1" s="386">
        <v>2030</v>
      </c>
      <c r="R1" s="386">
        <v>2031</v>
      </c>
      <c r="S1" s="386">
        <v>2032</v>
      </c>
      <c r="T1" s="425" t="s">
        <v>470</v>
      </c>
      <c r="V1" s="534"/>
      <c r="W1" s="534"/>
      <c r="X1" s="534"/>
      <c r="Y1" s="534"/>
      <c r="Z1" s="534"/>
      <c r="AA1" s="534"/>
      <c r="AB1" s="5"/>
    </row>
    <row r="2" spans="2:33">
      <c r="B2" s="424" t="s">
        <v>486</v>
      </c>
      <c r="C2" s="423">
        <v>11.67</v>
      </c>
      <c r="E2" s="11" t="s">
        <v>18</v>
      </c>
      <c r="F2" s="16">
        <f>_xlfn.XLOOKUP(F1,IS!D4:AH4,IS!D8:AH8)</f>
        <v>1689.51</v>
      </c>
      <c r="G2" s="16">
        <f>_xlfn.XLOOKUP(G1,IS!E4:AI4,IS!E8:AI8)</f>
        <v>2035.1357084200001</v>
      </c>
      <c r="H2" s="16">
        <f>_xlfn.XLOOKUP(H1,IS!F4:AJ4,IS!F8:AJ8)</f>
        <v>2702.0659999999998</v>
      </c>
      <c r="I2" s="16">
        <f>_xlfn.XLOOKUP(I1,IS!G4:AK4,IS!G8:AK8)</f>
        <v>4088.2520000000004</v>
      </c>
      <c r="J2" s="16">
        <f>_xlfn.XLOOKUP(J1,IS!H4:AL4,IS!H8:AL8)</f>
        <v>5545.9022034040245</v>
      </c>
      <c r="K2" s="16">
        <f>_xlfn.XLOOKUP(K1,IS!I4:AM4,IS!I8:AM8)</f>
        <v>6463.4228533280675</v>
      </c>
      <c r="L2" s="16">
        <f>_xlfn.XLOOKUP(L1,IS!J4:AN4,IS!J8:AN8)</f>
        <v>7453.7029279472627</v>
      </c>
      <c r="M2" s="16">
        <f>_xlfn.XLOOKUP(M1,IS!K4:AO4,IS!K8:AO8)</f>
        <v>8199.2166274765532</v>
      </c>
      <c r="N2" s="16">
        <f>_xlfn.XLOOKUP(N1,IS!L4:AP4,IS!L8:AP8)</f>
        <v>9013.0306202375341</v>
      </c>
      <c r="O2" s="16">
        <f>_xlfn.XLOOKUP(O1,IS!M4:AQ4,IS!M8:AQ8)</f>
        <v>9901.0871081011137</v>
      </c>
      <c r="P2" s="16">
        <f>_xlfn.XLOOKUP(P1,IS!N4:AR4,IS!N8:AR8)</f>
        <v>10869.827975478463</v>
      </c>
      <c r="Q2" s="16">
        <f>_xlfn.XLOOKUP(Q1,IS!O4:AS4,IS!O8:AS8)</f>
        <v>11926.235808986696</v>
      </c>
      <c r="R2" s="16">
        <f>_xlfn.XLOOKUP(R1,IS!P4:AT4,IS!P8:AT8)</f>
        <v>13077.878224851755</v>
      </c>
      <c r="S2" s="16">
        <f>_xlfn.XLOOKUP(S1,IS!Q4:AU4,IS!Q8:AU8)</f>
        <v>14332.955767136074</v>
      </c>
      <c r="T2" s="418"/>
      <c r="V2" s="535"/>
      <c r="W2" s="535"/>
      <c r="X2" s="535"/>
      <c r="Y2" s="536" t="s">
        <v>465</v>
      </c>
      <c r="Z2" s="536" t="s">
        <v>472</v>
      </c>
      <c r="AA2" s="536"/>
      <c r="AB2" s="536"/>
      <c r="AC2" s="536"/>
      <c r="AD2" s="536"/>
      <c r="AE2" s="536"/>
      <c r="AF2" s="536"/>
      <c r="AG2" s="536"/>
    </row>
    <row r="3" spans="2:33">
      <c r="B3" s="421" t="s">
        <v>485</v>
      </c>
      <c r="C3" s="422">
        <v>527.48</v>
      </c>
      <c r="E3" s="77" t="s">
        <v>215</v>
      </c>
      <c r="F3" s="168"/>
      <c r="G3" s="91">
        <f>(G2-F2)/G2</f>
        <v>0.16982931751923827</v>
      </c>
      <c r="H3" s="91">
        <f t="shared" ref="H3:S3" si="0">(H2-G2)/H2</f>
        <v>0.24682235429482469</v>
      </c>
      <c r="I3" s="91">
        <f t="shared" si="0"/>
        <v>0.3390656936020579</v>
      </c>
      <c r="J3" s="91">
        <f t="shared" si="0"/>
        <v>0.26283373740512977</v>
      </c>
      <c r="K3" s="91">
        <f t="shared" si="0"/>
        <v>0.14195584456486618</v>
      </c>
      <c r="L3" s="91">
        <f t="shared" si="0"/>
        <v>0.1328574648321699</v>
      </c>
      <c r="M3" s="91">
        <f t="shared" si="0"/>
        <v>9.0924991179155479E-2</v>
      </c>
      <c r="N3" s="91">
        <f t="shared" si="0"/>
        <v>9.0293046484683226E-2</v>
      </c>
      <c r="O3" s="91">
        <f t="shared" si="0"/>
        <v>8.9692826471243534E-2</v>
      </c>
      <c r="P3" s="91">
        <f t="shared" si="0"/>
        <v>8.9122005386171543E-2</v>
      </c>
      <c r="Q3" s="91">
        <f t="shared" si="0"/>
        <v>8.8578479448830322E-2</v>
      </c>
      <c r="R3" s="91">
        <f t="shared" si="0"/>
        <v>8.8060340986858623E-2</v>
      </c>
      <c r="S3" s="91">
        <f t="shared" si="0"/>
        <v>8.7565856106392073E-2</v>
      </c>
      <c r="T3" s="417"/>
      <c r="V3" s="532"/>
      <c r="W3" s="532"/>
      <c r="X3" s="532"/>
      <c r="Y3" s="536"/>
      <c r="Z3" s="436">
        <f ca="1">C7</f>
        <v>17.663124120611091</v>
      </c>
      <c r="AA3" s="438">
        <f>AB3-2%</f>
        <v>7.5931303265174763E-2</v>
      </c>
      <c r="AB3" s="438">
        <f>AC3-2%</f>
        <v>9.5931303265174767E-2</v>
      </c>
      <c r="AC3" s="438">
        <f>AD3-1.5%</f>
        <v>0.11593130326517477</v>
      </c>
      <c r="AD3" s="438">
        <f>AD13</f>
        <v>0.13093130326517477</v>
      </c>
      <c r="AE3" s="438">
        <f>AD3+2%</f>
        <v>0.15093130326517476</v>
      </c>
      <c r="AF3" s="438">
        <f t="shared" ref="AF3:AG3" si="1">AE3+2%</f>
        <v>0.17093130326517475</v>
      </c>
      <c r="AG3" s="438">
        <f t="shared" si="1"/>
        <v>0.19093130326517474</v>
      </c>
    </row>
    <row r="4" spans="2:33">
      <c r="B4" s="421" t="s">
        <v>484</v>
      </c>
      <c r="C4" s="419">
        <f>BS!Q50</f>
        <v>3843.2289999999989</v>
      </c>
      <c r="T4" s="417"/>
      <c r="V4" s="532"/>
      <c r="W4" s="532"/>
      <c r="X4" s="532"/>
      <c r="Y4" s="536"/>
      <c r="Z4" s="439">
        <f t="shared" ref="Z4:Z5" si="2">Z5-1%</f>
        <v>2.4999999999999994E-2</v>
      </c>
      <c r="AA4" s="436">
        <f t="dataTable" ref="AA4:AG10" dt2D="1" dtr="1" r1="C23" r2="C24" ca="1"/>
        <v>23.970284547969225</v>
      </c>
      <c r="AB4" s="436">
        <v>18.226388413075959</v>
      </c>
      <c r="AC4" s="440">
        <v>15.009189214722948</v>
      </c>
      <c r="AD4" s="440">
        <v>13.393518551503547</v>
      </c>
      <c r="AE4" s="440">
        <v>11.838013973535467</v>
      </c>
      <c r="AF4" s="440">
        <v>10.708875649596255</v>
      </c>
      <c r="AG4" s="440">
        <v>9.8519314931758082</v>
      </c>
    </row>
    <row r="5" spans="2:33">
      <c r="B5" s="420" t="s">
        <v>483</v>
      </c>
      <c r="C5" s="419">
        <f>BS!Q45</f>
        <v>527.44399999999996</v>
      </c>
      <c r="E5" s="11" t="s">
        <v>27</v>
      </c>
      <c r="F5" s="16">
        <f>_xlfn.XLOOKUP(IS!E4,IS!D4:AH4,IS!D20:AH20)</f>
        <v>57.65100000000001</v>
      </c>
      <c r="G5" s="16">
        <f>_xlfn.XLOOKUP(IS!F4,IS!E4:AI4,IS!E20:AI20)</f>
        <v>5.6446001199999785</v>
      </c>
      <c r="H5" s="16">
        <f>_xlfn.XLOOKUP(IS!G4,IS!F4:AJ4,IS!F20:AJ20)</f>
        <v>25.4530538082562</v>
      </c>
      <c r="I5" s="16">
        <f>IS!T20</f>
        <v>470.54968916000053</v>
      </c>
      <c r="J5" s="16">
        <f>IS!Y20</f>
        <v>747.81838481855402</v>
      </c>
      <c r="K5" s="16">
        <f>IS!Z20</f>
        <v>876.7657049470472</v>
      </c>
      <c r="L5" s="16">
        <f>IS!AA20</f>
        <v>1086.3682713864287</v>
      </c>
      <c r="M5" s="16">
        <f>IS!AB20</f>
        <v>1256.5415754611624</v>
      </c>
      <c r="N5" s="16">
        <f>IS!AC20</f>
        <v>1444.9959953059215</v>
      </c>
      <c r="O5" s="16">
        <f>IS!AD20</f>
        <v>1654.2236665641612</v>
      </c>
      <c r="P5" s="16">
        <f>IS!AE20</f>
        <v>1886.2310827889596</v>
      </c>
      <c r="Q5" s="16">
        <f>IS!AF20</f>
        <v>2143.2130582179625</v>
      </c>
      <c r="R5" s="16">
        <f>IS!AG20</f>
        <v>2427.5676180338501</v>
      </c>
      <c r="S5" s="16">
        <f>IS!AH20</f>
        <v>2741.9123193172718</v>
      </c>
      <c r="T5" s="418"/>
      <c r="V5" s="532"/>
      <c r="W5" s="532"/>
      <c r="X5" s="532"/>
      <c r="Y5" s="536"/>
      <c r="Z5" s="439">
        <f t="shared" si="2"/>
        <v>3.4999999999999996E-2</v>
      </c>
      <c r="AA5" s="436">
        <v>17.94097951944677</v>
      </c>
      <c r="AB5" s="436">
        <v>14.786554939598213</v>
      </c>
      <c r="AC5" s="440">
        <v>12.769563883741741</v>
      </c>
      <c r="AD5" s="440">
        <v>11.677256288482678</v>
      </c>
      <c r="AE5" s="440">
        <v>10.570149931839842</v>
      </c>
      <c r="AF5" s="440">
        <v>9.7299266370080879</v>
      </c>
      <c r="AG5" s="440">
        <v>9.0704632852470137</v>
      </c>
    </row>
    <row r="6" spans="2:33">
      <c r="B6" s="533" t="s">
        <v>482</v>
      </c>
      <c r="C6" s="533"/>
      <c r="E6" s="77" t="s">
        <v>490</v>
      </c>
      <c r="F6" s="17"/>
      <c r="G6" s="17"/>
      <c r="H6" s="17"/>
      <c r="I6" s="17"/>
      <c r="J6" s="17">
        <f ca="1">IS!Y29</f>
        <v>-86.325072852873689</v>
      </c>
      <c r="K6" s="17">
        <f ca="1">IS!Z29</f>
        <v>-181.7175169228033</v>
      </c>
      <c r="L6" s="17">
        <f ca="1">IS!AA29</f>
        <v>-265.44663600340368</v>
      </c>
      <c r="M6" s="17">
        <f ca="1">IS!AB29</f>
        <v>-332.52063840887115</v>
      </c>
      <c r="N6" s="17">
        <f ca="1">IS!AC29</f>
        <v>-407.75539978328334</v>
      </c>
      <c r="O6" s="17">
        <f ca="1">IS!AD29</f>
        <v>-498.913354279982</v>
      </c>
      <c r="P6" s="17">
        <f ca="1">IS!AE29</f>
        <v>-602.65249262250643</v>
      </c>
      <c r="Q6" s="17">
        <f ca="1">IS!AF29</f>
        <v>-720.39203825665356</v>
      </c>
      <c r="R6" s="17">
        <f ca="1">IS!AG29</f>
        <v>-853.72044547619817</v>
      </c>
      <c r="S6" s="17">
        <f ca="1">IS!AH29</f>
        <v>-1006.3832130460193</v>
      </c>
      <c r="T6" s="417"/>
      <c r="Y6" s="536"/>
      <c r="Z6" s="439">
        <f>Z7-1%</f>
        <v>4.4999999999999998E-2</v>
      </c>
      <c r="AA6" s="436">
        <v>16.04381272182485</v>
      </c>
      <c r="AB6" s="436">
        <v>13.577852270576324</v>
      </c>
      <c r="AC6" s="440">
        <v>11.927548439133254</v>
      </c>
      <c r="AD6" s="440">
        <v>11.008514453822377</v>
      </c>
      <c r="AE6" s="440">
        <v>10.058181623391024</v>
      </c>
      <c r="AF6" s="440">
        <v>9.3239178637375915</v>
      </c>
      <c r="AG6" s="440">
        <v>8.7395563907360625</v>
      </c>
    </row>
    <row r="7" spans="2:33">
      <c r="B7" s="410" t="s">
        <v>479</v>
      </c>
      <c r="C7" s="416">
        <f ca="1">C10/C3</f>
        <v>17.663124120611091</v>
      </c>
      <c r="E7" s="396" t="s">
        <v>491</v>
      </c>
      <c r="F7" s="395"/>
      <c r="G7" s="395"/>
      <c r="H7" s="395"/>
      <c r="I7" s="395"/>
      <c r="J7" s="395">
        <f t="shared" ref="J7:S7" ca="1" si="3">J5+J6</f>
        <v>661.49331196568028</v>
      </c>
      <c r="K7" s="395">
        <f t="shared" ca="1" si="3"/>
        <v>695.04818802424393</v>
      </c>
      <c r="L7" s="395">
        <f t="shared" ca="1" si="3"/>
        <v>820.92163538302498</v>
      </c>
      <c r="M7" s="395">
        <f t="shared" ca="1" si="3"/>
        <v>924.02093705229129</v>
      </c>
      <c r="N7" s="395">
        <f t="shared" ca="1" si="3"/>
        <v>1037.2405955226382</v>
      </c>
      <c r="O7" s="395">
        <f t="shared" ca="1" si="3"/>
        <v>1155.3103122841792</v>
      </c>
      <c r="P7" s="395">
        <f t="shared" ca="1" si="3"/>
        <v>1283.5785901664531</v>
      </c>
      <c r="Q7" s="395">
        <f t="shared" ca="1" si="3"/>
        <v>1422.821019961309</v>
      </c>
      <c r="R7" s="395">
        <f t="shared" ca="1" si="3"/>
        <v>1573.8471725576519</v>
      </c>
      <c r="S7" s="395">
        <f t="shared" ca="1" si="3"/>
        <v>1735.5291062712527</v>
      </c>
      <c r="T7" s="415"/>
      <c r="V7" s="532"/>
      <c r="W7" s="532"/>
      <c r="X7" s="532"/>
      <c r="Y7" s="536"/>
      <c r="Z7" s="437">
        <f>C24</f>
        <v>5.5E-2</v>
      </c>
      <c r="AA7" s="436">
        <v>16.043812721824853</v>
      </c>
      <c r="AB7" s="436">
        <v>13.577852270576324</v>
      </c>
      <c r="AC7" s="440">
        <v>11.927548439133258</v>
      </c>
      <c r="AD7" s="440">
        <v>11.008514453822377</v>
      </c>
      <c r="AE7" s="440">
        <v>10.058181623391027</v>
      </c>
      <c r="AF7" s="440">
        <v>9.3239178637375915</v>
      </c>
      <c r="AG7" s="440">
        <v>8.7395563907360625</v>
      </c>
    </row>
    <row r="8" spans="2:33">
      <c r="B8" s="409" t="s">
        <v>478</v>
      </c>
      <c r="C8" s="4">
        <f ca="1">(C7-C2)/C7</f>
        <v>0.33930147802209676</v>
      </c>
      <c r="E8" s="29" t="s">
        <v>492</v>
      </c>
      <c r="F8" s="17"/>
      <c r="G8" s="17"/>
      <c r="H8" s="17"/>
      <c r="I8" s="17"/>
      <c r="J8" s="17">
        <f>BS!U17</f>
        <v>417.90149635036494</v>
      </c>
      <c r="K8" s="17">
        <f>BS!V17</f>
        <v>458.34357664233579</v>
      </c>
      <c r="L8" s="17">
        <f>BS!W17</f>
        <v>490.69724087591243</v>
      </c>
      <c r="M8" s="17">
        <f>BS!X17</f>
        <v>504.17793430656934</v>
      </c>
      <c r="N8" s="17">
        <f>BS!Y17</f>
        <v>517.65862773722631</v>
      </c>
      <c r="O8" s="17">
        <f>BS!Z17</f>
        <v>531.13932116788328</v>
      </c>
      <c r="P8" s="17">
        <f>BS!AA17</f>
        <v>544.62001459854025</v>
      </c>
      <c r="Q8" s="17">
        <f>BS!AB17</f>
        <v>558.10070802919722</v>
      </c>
      <c r="R8" s="17">
        <f>BS!AC17</f>
        <v>571.58140145985419</v>
      </c>
      <c r="S8" s="17">
        <f>BS!AD17</f>
        <v>585.06209489051116</v>
      </c>
      <c r="T8" s="414"/>
      <c r="Y8" s="536"/>
      <c r="Z8" s="437">
        <f>Z7+1%</f>
        <v>6.5000000000000002E-2</v>
      </c>
      <c r="AA8" s="436">
        <v>17.940979519446767</v>
      </c>
      <c r="AB8" s="440">
        <v>14.786554939598213</v>
      </c>
      <c r="AC8" s="440">
        <v>12.769563883741741</v>
      </c>
      <c r="AD8" s="440">
        <v>11.677256288482679</v>
      </c>
      <c r="AE8" s="440">
        <v>10.570149931839842</v>
      </c>
      <c r="AF8" s="440">
        <v>9.7299266370080897</v>
      </c>
      <c r="AG8" s="440">
        <v>9.0704632852470137</v>
      </c>
    </row>
    <row r="9" spans="2:33">
      <c r="B9" s="388" t="s">
        <v>481</v>
      </c>
      <c r="C9" s="380">
        <f ca="1">SUM(J21:T21)</f>
        <v>13160.173711139936</v>
      </c>
      <c r="E9" s="29" t="s">
        <v>493</v>
      </c>
      <c r="F9" s="17"/>
      <c r="G9" s="17"/>
      <c r="H9" s="17"/>
      <c r="I9" s="17"/>
      <c r="J9" s="17">
        <f>-'Capex and D&amp;A'!Y54</f>
        <v>-397.86872204466033</v>
      </c>
      <c r="K9" s="17">
        <f>-'Capex and D&amp;A'!Z54</f>
        <v>-364.34963638781574</v>
      </c>
      <c r="L9" s="17">
        <f>-'Capex and D&amp;A'!AA54</f>
        <v>-332.00559198619248</v>
      </c>
      <c r="M9" s="17">
        <f>-'Capex and D&amp;A'!AB54</f>
        <v>-353.94218844287786</v>
      </c>
      <c r="N9" s="17">
        <f>-'Capex and D&amp;A'!AC54</f>
        <v>-372.92088922885506</v>
      </c>
      <c r="O9" s="17">
        <f>-'Capex and D&amp;A'!AD54</f>
        <v>-393.28408707715374</v>
      </c>
      <c r="P9" s="17">
        <f>-'Capex and D&amp;A'!AE54</f>
        <v>-415.13924463937292</v>
      </c>
      <c r="Q9" s="17">
        <f>-'Capex and D&amp;A'!AF54</f>
        <v>-438.60236847561754</v>
      </c>
      <c r="R9" s="17">
        <f>-'Capex and D&amp;A'!AG54</f>
        <v>-463.79869130055943</v>
      </c>
      <c r="S9" s="17">
        <f>-'Capex and D&amp;A'!AH54</f>
        <v>-429.19674181860222</v>
      </c>
      <c r="T9" s="414"/>
      <c r="Y9" s="536"/>
      <c r="Z9" s="437">
        <f t="shared" ref="Z9:Z10" si="4">Z8+1%</f>
        <v>7.4999999999999997E-2</v>
      </c>
      <c r="AA9" s="440">
        <v>23.970284547969232</v>
      </c>
      <c r="AB9" s="440">
        <v>18.226388413075956</v>
      </c>
      <c r="AC9" s="440">
        <v>15.009189214722952</v>
      </c>
      <c r="AD9" s="440">
        <v>13.393518551503544</v>
      </c>
      <c r="AE9" s="440">
        <v>11.838013973535467</v>
      </c>
      <c r="AF9" s="440">
        <v>10.708875649596251</v>
      </c>
      <c r="AG9" s="440">
        <v>9.8519314931758082</v>
      </c>
    </row>
    <row r="10" spans="2:33">
      <c r="B10" s="408" t="s">
        <v>477</v>
      </c>
      <c r="C10" s="413">
        <f ca="1">C9-C4</f>
        <v>9316.9447111399368</v>
      </c>
      <c r="E10" s="29" t="s">
        <v>494</v>
      </c>
      <c r="F10" s="17"/>
      <c r="G10" s="17"/>
      <c r="H10" s="17"/>
      <c r="I10" s="17"/>
      <c r="J10" s="17">
        <f>-BS!U84</f>
        <v>-112.88760010849137</v>
      </c>
      <c r="K10" s="17">
        <f>-BS!V84</f>
        <v>-139.99120454031709</v>
      </c>
      <c r="L10" s="17">
        <f>-BS!W84</f>
        <v>-158.27803559764698</v>
      </c>
      <c r="M10" s="17">
        <f>-BS!X84</f>
        <v>-120.03260454617089</v>
      </c>
      <c r="N10" s="17">
        <f>-BS!Y84</f>
        <v>-131.28818959506998</v>
      </c>
      <c r="O10" s="17">
        <f>-BS!Z84</f>
        <v>-143.53780868780154</v>
      </c>
      <c r="P10" s="17">
        <f>-BS!AA84</f>
        <v>-156.86581083851729</v>
      </c>
      <c r="Q10" s="17">
        <f>-BS!AB84</f>
        <v>-171.36350637821715</v>
      </c>
      <c r="R10" s="17">
        <f>-BS!AC84</f>
        <v>-187.12973003862226</v>
      </c>
      <c r="S10" s="17">
        <f>-BS!AD84</f>
        <v>-204.27144890186537</v>
      </c>
      <c r="T10" s="412"/>
      <c r="Y10" s="536"/>
      <c r="Z10" s="437">
        <f t="shared" si="4"/>
        <v>8.4999999999999992E-2</v>
      </c>
      <c r="AA10" s="440">
        <v>54.618146606891933</v>
      </c>
      <c r="AB10" s="440">
        <v>29.68907769267549</v>
      </c>
      <c r="AC10" s="440">
        <v>21.125369490160509</v>
      </c>
      <c r="AD10" s="440">
        <v>17.663124120611091</v>
      </c>
      <c r="AE10" s="440">
        <v>14.731038132546256</v>
      </c>
      <c r="AF10" s="440">
        <v>12.810615398661582</v>
      </c>
      <c r="AG10" s="440">
        <v>11.455308333575671</v>
      </c>
    </row>
    <row r="11" spans="2:33">
      <c r="B11" s="533" t="s">
        <v>480</v>
      </c>
      <c r="C11" s="533"/>
      <c r="E11" s="396" t="s">
        <v>495</v>
      </c>
      <c r="F11" s="395"/>
      <c r="G11" s="395"/>
      <c r="H11" s="395"/>
      <c r="I11" s="395"/>
      <c r="J11" s="395">
        <f ca="1">J7+J8+J9+J10</f>
        <v>568.63848616289363</v>
      </c>
      <c r="K11" s="395">
        <f t="shared" ref="K11:S11" ca="1" si="5">K7+K8+K9+K10</f>
        <v>649.05092373844695</v>
      </c>
      <c r="L11" s="395">
        <f t="shared" ca="1" si="5"/>
        <v>821.335248675098</v>
      </c>
      <c r="M11" s="395">
        <f t="shared" ca="1" si="5"/>
        <v>954.22407836981188</v>
      </c>
      <c r="N11" s="395">
        <f t="shared" ca="1" si="5"/>
        <v>1050.6901444359394</v>
      </c>
      <c r="O11" s="395">
        <f t="shared" ca="1" si="5"/>
        <v>1149.6277376871071</v>
      </c>
      <c r="P11" s="395">
        <f t="shared" ca="1" si="5"/>
        <v>1256.1935492871032</v>
      </c>
      <c r="Q11" s="395">
        <f t="shared" ca="1" si="5"/>
        <v>1370.9558531366715</v>
      </c>
      <c r="R11" s="395">
        <f t="shared" ca="1" si="5"/>
        <v>1494.5001526783244</v>
      </c>
      <c r="S11" s="395">
        <f t="shared" ca="1" si="5"/>
        <v>1687.1230104412962</v>
      </c>
      <c r="T11" s="411">
        <f ca="1">C25</f>
        <v>23441.119794817347</v>
      </c>
    </row>
    <row r="12" spans="2:33">
      <c r="B12" s="410" t="s">
        <v>479</v>
      </c>
      <c r="C12" s="416">
        <f ca="1">C14/C3</f>
        <v>18.993245677168606</v>
      </c>
      <c r="E12" s="29" t="s">
        <v>496</v>
      </c>
      <c r="F12" s="17"/>
      <c r="G12" s="17"/>
      <c r="H12" s="17"/>
      <c r="I12" s="17"/>
      <c r="J12" s="17">
        <f>CFS!U17</f>
        <v>344.34300000000002</v>
      </c>
      <c r="K12" s="17">
        <f>CFS!V17</f>
        <v>0</v>
      </c>
      <c r="L12" s="17">
        <f>CFS!W17</f>
        <v>0</v>
      </c>
      <c r="M12" s="17">
        <f>CFS!X17</f>
        <v>0</v>
      </c>
      <c r="N12" s="17">
        <f>CFS!Y17</f>
        <v>0</v>
      </c>
      <c r="O12" s="17">
        <f>CFS!Z17</f>
        <v>0</v>
      </c>
      <c r="P12" s="17">
        <f>CFS!AA17</f>
        <v>0</v>
      </c>
      <c r="Q12" s="17">
        <f>CFS!AB17</f>
        <v>0</v>
      </c>
      <c r="R12" s="17">
        <f>CFS!AC17</f>
        <v>0</v>
      </c>
      <c r="S12" s="17">
        <f>CFS!AD17</f>
        <v>0</v>
      </c>
      <c r="T12" s="406"/>
      <c r="Y12" s="544" t="s">
        <v>465</v>
      </c>
      <c r="Z12" s="545" t="s">
        <v>472</v>
      </c>
      <c r="AA12" s="545"/>
      <c r="AB12" s="545"/>
      <c r="AC12" s="545"/>
      <c r="AD12" s="545"/>
      <c r="AE12" s="545"/>
      <c r="AF12" s="545"/>
      <c r="AG12" s="545"/>
    </row>
    <row r="13" spans="2:33">
      <c r="B13" s="409" t="s">
        <v>478</v>
      </c>
      <c r="C13" s="3">
        <f ca="1">(C12-C2)/C12</f>
        <v>0.38557104992180091</v>
      </c>
      <c r="E13" s="29" t="s">
        <v>497</v>
      </c>
      <c r="F13" s="17"/>
      <c r="G13" s="17"/>
      <c r="H13" s="17"/>
      <c r="I13" s="17"/>
      <c r="J13" s="17">
        <f ca="1">-'Non controlling Interest'!Y6</f>
        <v>-58.361821116800328</v>
      </c>
      <c r="K13" s="17">
        <f ca="1">-'Non controlling Interest'!Z6</f>
        <v>-108.35045108026318</v>
      </c>
      <c r="L13" s="17">
        <f ca="1">-'Non controlling Interest'!AA6</f>
        <v>-106.7466985316255</v>
      </c>
      <c r="M13" s="17">
        <f ca="1">-'Non controlling Interest'!AB6</f>
        <v>-69.171710983517144</v>
      </c>
      <c r="N13" s="17">
        <f ca="1">-'Non controlling Interest'!AC6</f>
        <v>-5.6697009783135623</v>
      </c>
      <c r="O13" s="17">
        <f ca="1">-'Non controlling Interest'!AD6</f>
        <v>0</v>
      </c>
      <c r="P13" s="17">
        <f ca="1">-'Non controlling Interest'!AE6</f>
        <v>0</v>
      </c>
      <c r="Q13" s="17">
        <f ca="1">-'Non controlling Interest'!AF6</f>
        <v>0</v>
      </c>
      <c r="R13" s="17">
        <f ca="1">-'Non controlling Interest'!AG6</f>
        <v>0</v>
      </c>
      <c r="S13" s="17">
        <f ca="1">-'Non controlling Interest'!AH6</f>
        <v>0</v>
      </c>
      <c r="T13" s="406"/>
      <c r="Y13" s="544"/>
      <c r="Z13" s="491">
        <f ca="1">C7</f>
        <v>17.663124120611091</v>
      </c>
      <c r="AA13" s="493">
        <f t="shared" ref="AA13:AB13" si="6">AB13-1%</f>
        <v>0.10093130326517478</v>
      </c>
      <c r="AB13" s="493">
        <f t="shared" si="6"/>
        <v>0.11093130326517478</v>
      </c>
      <c r="AC13" s="493">
        <f>AD13-1%</f>
        <v>0.12093130326517477</v>
      </c>
      <c r="AD13" s="493">
        <v>0.13093130326517477</v>
      </c>
      <c r="AE13" s="493">
        <f>AD13+1%</f>
        <v>0.14093130326517478</v>
      </c>
      <c r="AF13" s="493">
        <f t="shared" ref="AF13:AG13" si="7">AE13+1%</f>
        <v>0.15093130326517479</v>
      </c>
      <c r="AG13" s="493">
        <f t="shared" si="7"/>
        <v>0.1609313032651748</v>
      </c>
    </row>
    <row r="14" spans="2:33">
      <c r="B14" s="408" t="s">
        <v>477</v>
      </c>
      <c r="C14" s="407">
        <f ca="1">SUM(J22:T22)</f>
        <v>10018.557229792896</v>
      </c>
      <c r="E14" s="29" t="s">
        <v>31</v>
      </c>
      <c r="J14" s="17">
        <f>IS!Y24</f>
        <v>-523.14494999999999</v>
      </c>
      <c r="K14" s="17">
        <f>IS!Z24</f>
        <v>-435.95412499999998</v>
      </c>
      <c r="L14" s="17">
        <f>IS!AA24</f>
        <v>-401.07779499999992</v>
      </c>
      <c r="M14" s="17">
        <f>IS!AB24</f>
        <v>-401.07779499999992</v>
      </c>
      <c r="N14" s="17">
        <f>IS!AC24</f>
        <v>-401.07779499999992</v>
      </c>
      <c r="O14" s="17">
        <f>IS!AD24</f>
        <v>-401.07779499999992</v>
      </c>
      <c r="P14" s="17">
        <f>IS!AE24</f>
        <v>-401.07779499999992</v>
      </c>
      <c r="Q14" s="17">
        <f>IS!AF24</f>
        <v>-401.07779499999992</v>
      </c>
      <c r="R14" s="17">
        <f>IS!AG24</f>
        <v>-401.07779499999992</v>
      </c>
      <c r="S14" s="17">
        <f>IS!AH24</f>
        <v>-401.07779499999992</v>
      </c>
      <c r="T14" s="406"/>
      <c r="Y14" s="544"/>
      <c r="Z14" s="492">
        <f>Z15-0.5%</f>
        <v>4.0000000000000008E-2</v>
      </c>
      <c r="AA14" s="440">
        <f t="dataTable" ref="AA14:AG20" dt2D="1" dtr="1" r1="C23" r2="C24" ca="1"/>
        <v>20.876181999038515</v>
      </c>
      <c r="AB14" s="440">
        <v>18.440445083297849</v>
      </c>
      <c r="AC14" s="440">
        <v>16.606635188986669</v>
      </c>
      <c r="AD14" s="440">
        <v>15.176164921066505</v>
      </c>
      <c r="AE14" s="440">
        <v>14.029148888184185</v>
      </c>
      <c r="AF14" s="440">
        <v>13.088930395603088</v>
      </c>
      <c r="AG14" s="440">
        <v>12.304208200042687</v>
      </c>
    </row>
    <row r="15" spans="2:33">
      <c r="E15" s="29" t="s">
        <v>33</v>
      </c>
      <c r="J15" s="17">
        <f ca="1">IS!Y27</f>
        <v>114.19436768989638</v>
      </c>
      <c r="K15" s="17">
        <f ca="1">IS!Z27</f>
        <v>93.651705120021305</v>
      </c>
      <c r="L15" s="17">
        <f ca="1">IS!AA27</f>
        <v>95.43492362358198</v>
      </c>
      <c r="M15" s="17">
        <f ca="1">IS!AB27</f>
        <v>122.53809721198787</v>
      </c>
      <c r="N15" s="17">
        <f ca="1">IS!AC27</f>
        <v>155.36238729197046</v>
      </c>
      <c r="O15" s="17">
        <f ca="1">IS!AD27</f>
        <v>214.24634690637387</v>
      </c>
      <c r="P15" s="17">
        <f ca="1">IS!AE27</f>
        <v>287.35404345370625</v>
      </c>
      <c r="Q15" s="17">
        <f ca="1">IS!AF27</f>
        <v>376.66484930160681</v>
      </c>
      <c r="R15" s="17">
        <f ca="1">IS!AG27</f>
        <v>484.45266366084979</v>
      </c>
      <c r="S15" s="17">
        <f ca="1">IS!AH27</f>
        <v>619.11610228866675</v>
      </c>
      <c r="T15" s="406"/>
      <c r="Y15" s="544"/>
      <c r="Z15" s="492">
        <f t="shared" ref="Z15" si="8">Z16-0.5%</f>
        <v>4.5000000000000005E-2</v>
      </c>
      <c r="AA15" s="440">
        <v>22.511153790879039</v>
      </c>
      <c r="AB15" s="440">
        <v>19.642717973641346</v>
      </c>
      <c r="AC15" s="440">
        <v>17.529816618184253</v>
      </c>
      <c r="AD15" s="440">
        <v>15.908680492665995</v>
      </c>
      <c r="AE15" s="440">
        <v>14.625522914366487</v>
      </c>
      <c r="AF15" s="440">
        <v>13.584627545394733</v>
      </c>
      <c r="AG15" s="440">
        <v>12.723303239570763</v>
      </c>
    </row>
    <row r="16" spans="2:33">
      <c r="B16" s="548" t="s">
        <v>476</v>
      </c>
      <c r="C16" s="549"/>
      <c r="E16" s="11" t="s">
        <v>498</v>
      </c>
      <c r="F16" s="16"/>
      <c r="G16" s="16"/>
      <c r="H16" s="16"/>
      <c r="I16" s="16"/>
      <c r="J16" s="16">
        <f ca="1">SUM(J11:J15)</f>
        <v>445.6690827359896</v>
      </c>
      <c r="K16" s="16">
        <f t="shared" ref="K16:S16" ca="1" si="9">SUM(K11:K15)</f>
        <v>198.39805277820511</v>
      </c>
      <c r="L16" s="16">
        <f t="shared" ca="1" si="9"/>
        <v>408.94567876705457</v>
      </c>
      <c r="M16" s="16">
        <f t="shared" ca="1" si="9"/>
        <v>606.51266959828263</v>
      </c>
      <c r="N16" s="16">
        <f t="shared" ca="1" si="9"/>
        <v>799.3050357495963</v>
      </c>
      <c r="O16" s="16">
        <f t="shared" ca="1" si="9"/>
        <v>962.79628959348111</v>
      </c>
      <c r="P16" s="16">
        <f t="shared" ca="1" si="9"/>
        <v>1142.4697977408096</v>
      </c>
      <c r="Q16" s="16">
        <f t="shared" ca="1" si="9"/>
        <v>1346.5429074382785</v>
      </c>
      <c r="R16" s="16">
        <f t="shared" ca="1" si="9"/>
        <v>1577.8750213391743</v>
      </c>
      <c r="S16" s="16">
        <f t="shared" ca="1" si="9"/>
        <v>1905.161317729963</v>
      </c>
      <c r="T16" s="406">
        <f ca="1">C32</f>
        <v>21484.88125504339</v>
      </c>
      <c r="Y16" s="544"/>
      <c r="Z16" s="490">
        <f>Z17-0.5%</f>
        <v>0.05</v>
      </c>
      <c r="AA16" s="440">
        <v>24.467140692686034</v>
      </c>
      <c r="AB16" s="440">
        <v>21.042306993119844</v>
      </c>
      <c r="AC16" s="440">
        <v>18.58314953011244</v>
      </c>
      <c r="AD16" s="440">
        <v>16.731706848355962</v>
      </c>
      <c r="AE16" s="440">
        <v>15.287482058628871</v>
      </c>
      <c r="AF16" s="440">
        <v>14.129437025430375</v>
      </c>
      <c r="AG16" s="440">
        <v>13.180177970420614</v>
      </c>
    </row>
    <row r="17" spans="2:36">
      <c r="B17" s="405" t="s">
        <v>405</v>
      </c>
      <c r="C17" s="404" t="s">
        <v>489</v>
      </c>
      <c r="E17" s="78" t="s">
        <v>499</v>
      </c>
      <c r="F17" s="78"/>
      <c r="G17" s="78"/>
      <c r="H17" s="78"/>
      <c r="I17" s="403"/>
      <c r="J17" s="402">
        <v>45291</v>
      </c>
      <c r="K17" s="402">
        <v>45657</v>
      </c>
      <c r="L17" s="402">
        <v>46022</v>
      </c>
      <c r="M17" s="402">
        <v>46387</v>
      </c>
      <c r="N17" s="402">
        <v>46752</v>
      </c>
      <c r="O17" s="402">
        <v>47118</v>
      </c>
      <c r="P17" s="402">
        <v>47483</v>
      </c>
      <c r="Q17" s="402">
        <v>47848</v>
      </c>
      <c r="R17" s="402">
        <v>48213</v>
      </c>
      <c r="S17" s="402">
        <v>48579</v>
      </c>
      <c r="T17" s="401"/>
      <c r="Y17" s="544"/>
      <c r="Z17" s="490">
        <v>5.5E-2</v>
      </c>
      <c r="AA17" s="440">
        <v>26.848978106618596</v>
      </c>
      <c r="AB17" s="440">
        <v>22.692129591609174</v>
      </c>
      <c r="AC17" s="440">
        <v>19.796244627795044</v>
      </c>
      <c r="AD17" s="440">
        <v>17.663124120611091</v>
      </c>
      <c r="AE17" s="440">
        <v>16.026474730733799</v>
      </c>
      <c r="AF17" s="440">
        <v>14.731038132546256</v>
      </c>
      <c r="AG17" s="440">
        <v>13.680182042340324</v>
      </c>
    </row>
    <row r="18" spans="2:36">
      <c r="B18" s="400" t="s">
        <v>475</v>
      </c>
      <c r="C18" s="399">
        <f>'Discount Factor'!P12</f>
        <v>0.104188987852793</v>
      </c>
      <c r="E18" s="78" t="s">
        <v>500</v>
      </c>
      <c r="F18" s="78"/>
      <c r="G18" s="78"/>
      <c r="H18" s="78"/>
      <c r="I18" s="180"/>
      <c r="J18" s="180">
        <f ca="1">(J17-TODAY())/365</f>
        <v>0.34246575342465752</v>
      </c>
      <c r="K18" s="180">
        <f t="shared" ref="K18:S18" ca="1" si="10">(K17-TODAY())/365</f>
        <v>1.3452054794520547</v>
      </c>
      <c r="L18" s="180">
        <f t="shared" ca="1" si="10"/>
        <v>2.3452054794520549</v>
      </c>
      <c r="M18" s="180">
        <f t="shared" ca="1" si="10"/>
        <v>3.3452054794520549</v>
      </c>
      <c r="N18" s="180">
        <f t="shared" ca="1" si="10"/>
        <v>4.3452054794520549</v>
      </c>
      <c r="O18" s="180">
        <f t="shared" ca="1" si="10"/>
        <v>5.3479452054794523</v>
      </c>
      <c r="P18" s="180">
        <f t="shared" ca="1" si="10"/>
        <v>6.3479452054794523</v>
      </c>
      <c r="Q18" s="180">
        <f t="shared" ca="1" si="10"/>
        <v>7.3479452054794523</v>
      </c>
      <c r="R18" s="180">
        <f t="shared" ca="1" si="10"/>
        <v>8.3479452054794514</v>
      </c>
      <c r="S18" s="180">
        <f t="shared" ca="1" si="10"/>
        <v>9.3506849315068497</v>
      </c>
      <c r="T18" s="397"/>
      <c r="Y18" s="544"/>
      <c r="Z18" s="490">
        <f>Z17+0.5%</f>
        <v>0.06</v>
      </c>
      <c r="AA18" s="440">
        <v>29.812726484514794</v>
      </c>
      <c r="AB18" s="440">
        <v>24.665883150572753</v>
      </c>
      <c r="AC18" s="440">
        <v>21.208431987201177</v>
      </c>
      <c r="AD18" s="440">
        <v>18.725853976927031</v>
      </c>
      <c r="AE18" s="494">
        <v>16.856778507725256</v>
      </c>
      <c r="AF18" s="440">
        <v>15.398799196191241</v>
      </c>
      <c r="AG18" s="440">
        <v>14.229725162676573</v>
      </c>
      <c r="AH18" s="398"/>
      <c r="AI18" s="398"/>
      <c r="AJ18" s="398"/>
    </row>
    <row r="19" spans="2:36">
      <c r="E19" s="78" t="s">
        <v>501</v>
      </c>
      <c r="F19" s="78"/>
      <c r="G19" s="78"/>
      <c r="H19" s="78"/>
      <c r="I19" s="180"/>
      <c r="J19" s="180">
        <f ca="1">1/(1+J33)^J18</f>
        <v>0.95555716378608246</v>
      </c>
      <c r="K19" s="180">
        <f t="shared" ref="K19:S19" ca="1" si="11">1/(1+K33)^K18</f>
        <v>0.84082382862453109</v>
      </c>
      <c r="L19" s="180">
        <f t="shared" ca="1" si="11"/>
        <v>0.74571639975760418</v>
      </c>
      <c r="M19" s="180">
        <f t="shared" ca="1" si="11"/>
        <v>0.66036873458446632</v>
      </c>
      <c r="N19" s="180">
        <f t="shared" ca="1" si="11"/>
        <v>0.58580882501893961</v>
      </c>
      <c r="O19" s="180">
        <f t="shared" ca="1" si="11"/>
        <v>0.51781114666665584</v>
      </c>
      <c r="P19" s="180">
        <f t="shared" ca="1" si="11"/>
        <v>0.45786898371807061</v>
      </c>
      <c r="Q19" s="180">
        <f t="shared" ca="1" si="11"/>
        <v>0.40487049773970119</v>
      </c>
      <c r="R19" s="180">
        <f t="shared" ca="1" si="11"/>
        <v>0.35801077251991337</v>
      </c>
      <c r="S19" s="180">
        <f t="shared" ca="1" si="11"/>
        <v>0.31647156494807538</v>
      </c>
      <c r="T19" s="397">
        <f ca="1">S19</f>
        <v>0.31647156494807538</v>
      </c>
      <c r="Y19" s="544"/>
      <c r="Z19" s="492">
        <f t="shared" ref="Z19:Z20" si="12">Z18+0.5%</f>
        <v>6.5000000000000002E-2</v>
      </c>
      <c r="AA19" s="440">
        <v>33.601312290662236</v>
      </c>
      <c r="AB19" s="440">
        <v>27.069355315073938</v>
      </c>
      <c r="AC19" s="440">
        <v>22.873105392339308</v>
      </c>
      <c r="AD19" s="440">
        <v>19.949771281948735</v>
      </c>
      <c r="AE19" s="440">
        <v>17.796431623037922</v>
      </c>
      <c r="AF19" s="440">
        <v>16.144268968801605</v>
      </c>
      <c r="AG19" s="440">
        <v>14.836553350726028</v>
      </c>
    </row>
    <row r="20" spans="2:36">
      <c r="B20" s="548" t="s">
        <v>474</v>
      </c>
      <c r="C20" s="549"/>
      <c r="E20" s="78" t="s">
        <v>502</v>
      </c>
      <c r="F20" s="78"/>
      <c r="G20" s="78"/>
      <c r="H20" s="78"/>
      <c r="I20" s="180"/>
      <c r="J20" s="180">
        <f ca="1">1/(1+J28)^J18</f>
        <v>0.94801201555425008</v>
      </c>
      <c r="K20" s="180">
        <f t="shared" ref="K20:S20" ca="1" si="13">1/(1+K28)^K18</f>
        <v>0.81803894575668878</v>
      </c>
      <c r="L20" s="180">
        <f t="shared" ca="1" si="13"/>
        <v>0.71580357419267682</v>
      </c>
      <c r="M20" s="180">
        <f t="shared" ca="1" si="13"/>
        <v>0.62513331688764073</v>
      </c>
      <c r="N20" s="180">
        <f t="shared" ca="1" si="13"/>
        <v>0.54829008369395171</v>
      </c>
      <c r="O20" s="180">
        <f t="shared" ca="1" si="13"/>
        <v>0.47718774081472343</v>
      </c>
      <c r="P20" s="180">
        <f t="shared" ca="1" si="13"/>
        <v>0.41543018012825195</v>
      </c>
      <c r="Q20" s="180">
        <f t="shared" ca="1" si="13"/>
        <v>0.36163639650690177</v>
      </c>
      <c r="R20" s="180">
        <f t="shared" ca="1" si="13"/>
        <v>0.31478320111629665</v>
      </c>
      <c r="S20" s="180">
        <f t="shared" ca="1" si="13"/>
        <v>0.27387443417697721</v>
      </c>
      <c r="T20" s="397">
        <f ca="1">S20</f>
        <v>0.27387443417697721</v>
      </c>
      <c r="Y20" s="544"/>
      <c r="Z20" s="492">
        <f t="shared" si="12"/>
        <v>7.0000000000000007E-2</v>
      </c>
      <c r="AA20" s="440">
        <v>38.61473682205439</v>
      </c>
      <c r="AB20" s="440">
        <v>30.060024068193428</v>
      </c>
      <c r="AC20" s="440">
        <v>24.864625608459484</v>
      </c>
      <c r="AD20" s="440">
        <v>21.374556981282506</v>
      </c>
      <c r="AE20" s="440">
        <v>18.868558423741625</v>
      </c>
      <c r="AF20" s="440">
        <v>16.981850167094546</v>
      </c>
      <c r="AG20" s="440">
        <v>15.510116333753608</v>
      </c>
    </row>
    <row r="21" spans="2:36">
      <c r="B21" s="546" t="s">
        <v>467</v>
      </c>
      <c r="C21" s="547"/>
      <c r="E21" s="396" t="s">
        <v>503</v>
      </c>
      <c r="F21" s="396"/>
      <c r="G21" s="396"/>
      <c r="H21" s="396"/>
      <c r="I21" s="395"/>
      <c r="J21" s="395">
        <f ca="1">J11*J19</f>
        <v>543.36657905742618</v>
      </c>
      <c r="K21" s="395">
        <f t="shared" ref="K21:T21" ca="1" si="14">K11*K19</f>
        <v>545.73748267004953</v>
      </c>
      <c r="L21" s="395">
        <f t="shared" ca="1" si="14"/>
        <v>612.48316463601066</v>
      </c>
      <c r="M21" s="395">
        <f t="shared" ca="1" si="14"/>
        <v>630.13974714310132</v>
      </c>
      <c r="N21" s="395">
        <f t="shared" ca="1" si="14"/>
        <v>615.50355897099757</v>
      </c>
      <c r="O21" s="395">
        <f t="shared" ca="1" si="14"/>
        <v>595.29005709155433</v>
      </c>
      <c r="P21" s="395">
        <f t="shared" ca="1" si="14"/>
        <v>575.17206376528202</v>
      </c>
      <c r="Q21" s="395">
        <f t="shared" ca="1" si="14"/>
        <v>555.0595786386009</v>
      </c>
      <c r="R21" s="395">
        <f t="shared" ca="1" si="14"/>
        <v>535.04715419149545</v>
      </c>
      <c r="S21" s="395">
        <f t="shared" ca="1" si="14"/>
        <v>533.92645937426516</v>
      </c>
      <c r="T21" s="395">
        <f t="shared" ca="1" si="14"/>
        <v>7418.4478656011534</v>
      </c>
      <c r="AE21" s="315"/>
    </row>
    <row r="22" spans="2:36" ht="15" thickBot="1">
      <c r="B22" s="374" t="s">
        <v>473</v>
      </c>
      <c r="C22" s="380">
        <f ca="1">S11</f>
        <v>1687.1230104412962</v>
      </c>
      <c r="E22" s="394" t="s">
        <v>504</v>
      </c>
      <c r="F22" s="394"/>
      <c r="G22" s="394"/>
      <c r="H22" s="394"/>
      <c r="I22" s="393"/>
      <c r="J22" s="393">
        <f ca="1">J16*J20</f>
        <v>422.49964539475934</v>
      </c>
      <c r="K22" s="393">
        <f t="shared" ref="K22:T22" ca="1" si="15">K16*K20</f>
        <v>162.29733393486282</v>
      </c>
      <c r="L22" s="393">
        <f t="shared" ca="1" si="15"/>
        <v>292.72477851210795</v>
      </c>
      <c r="M22" s="393">
        <f t="shared" ca="1" si="15"/>
        <v>379.15127688035216</v>
      </c>
      <c r="N22" s="393">
        <f t="shared" ca="1" si="15"/>
        <v>438.2510249481432</v>
      </c>
      <c r="O22" s="393">
        <f t="shared" ca="1" si="15"/>
        <v>459.43458629591146</v>
      </c>
      <c r="P22" s="393">
        <f t="shared" ca="1" si="15"/>
        <v>474.61643386655209</v>
      </c>
      <c r="Q22" s="393">
        <f t="shared" ca="1" si="15"/>
        <v>486.95892478790557</v>
      </c>
      <c r="R22" s="393">
        <f t="shared" ca="1" si="15"/>
        <v>496.68855017859016</v>
      </c>
      <c r="S22" s="393">
        <f t="shared" ca="1" si="15"/>
        <v>521.77497790915788</v>
      </c>
      <c r="T22" s="393">
        <f t="shared" ca="1" si="15"/>
        <v>5884.1596970845521</v>
      </c>
      <c r="AE22" s="315"/>
    </row>
    <row r="23" spans="2:36">
      <c r="B23" s="374" t="s">
        <v>472</v>
      </c>
      <c r="C23" s="379">
        <f>S33</f>
        <v>0.13093130326517477</v>
      </c>
      <c r="AE23" s="315"/>
    </row>
    <row r="24" spans="2:36">
      <c r="B24" s="378" t="s">
        <v>465</v>
      </c>
      <c r="C24" s="377">
        <v>5.5E-2</v>
      </c>
      <c r="E24" s="11"/>
      <c r="F24" s="11"/>
      <c r="G24" s="11"/>
      <c r="H24" s="11"/>
      <c r="I24" s="392"/>
      <c r="J24" s="392"/>
      <c r="K24" s="392"/>
      <c r="L24" s="392"/>
      <c r="M24" s="392"/>
      <c r="N24" s="392"/>
      <c r="O24" s="392"/>
      <c r="P24" s="392"/>
      <c r="Q24" s="392"/>
      <c r="R24" s="392"/>
      <c r="S24" s="392"/>
      <c r="T24" s="391"/>
      <c r="AE24" s="315"/>
    </row>
    <row r="25" spans="2:36">
      <c r="B25" s="376" t="s">
        <v>464</v>
      </c>
      <c r="C25" s="375">
        <f ca="1">C22*(1+C24)/(C23-C24)</f>
        <v>23441.119794817347</v>
      </c>
      <c r="E25" s="11"/>
      <c r="F25" s="390"/>
      <c r="G25" s="11"/>
      <c r="H25" s="389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AE25" s="315"/>
    </row>
    <row r="26" spans="2:36" ht="15" customHeight="1">
      <c r="B26" s="388"/>
      <c r="C26" s="387"/>
      <c r="E26" s="30" t="s">
        <v>471</v>
      </c>
      <c r="F26" s="2">
        <f t="shared" ref="F26:S26" si="16">F1</f>
        <v>2019</v>
      </c>
      <c r="G26" s="2">
        <f t="shared" si="16"/>
        <v>2020</v>
      </c>
      <c r="H26" s="2">
        <f t="shared" si="16"/>
        <v>2021</v>
      </c>
      <c r="I26" s="2">
        <f t="shared" si="16"/>
        <v>2022</v>
      </c>
      <c r="J26" s="386">
        <f t="shared" si="16"/>
        <v>2023</v>
      </c>
      <c r="K26" s="386">
        <f t="shared" si="16"/>
        <v>2024</v>
      </c>
      <c r="L26" s="386">
        <f t="shared" si="16"/>
        <v>2025</v>
      </c>
      <c r="M26" s="386">
        <f t="shared" si="16"/>
        <v>2026</v>
      </c>
      <c r="N26" s="386">
        <f t="shared" si="16"/>
        <v>2027</v>
      </c>
      <c r="O26" s="386">
        <f t="shared" si="16"/>
        <v>2028</v>
      </c>
      <c r="P26" s="386">
        <f t="shared" si="16"/>
        <v>2029</v>
      </c>
      <c r="Q26" s="386">
        <f t="shared" si="16"/>
        <v>2030</v>
      </c>
      <c r="R26" s="386">
        <f t="shared" si="16"/>
        <v>2031</v>
      </c>
      <c r="S26" s="386">
        <f t="shared" si="16"/>
        <v>2032</v>
      </c>
      <c r="T26" s="385" t="s">
        <v>470</v>
      </c>
      <c r="AE26" s="315"/>
    </row>
    <row r="27" spans="2:36" ht="15" customHeight="1">
      <c r="B27" s="548" t="s">
        <v>469</v>
      </c>
      <c r="C27" s="549"/>
      <c r="E27" s="384" t="s">
        <v>468</v>
      </c>
      <c r="F27" s="383"/>
      <c r="G27" s="383"/>
      <c r="H27" s="383"/>
      <c r="I27" s="383"/>
      <c r="J27" s="383"/>
      <c r="K27" s="383"/>
      <c r="L27" s="383"/>
      <c r="M27" s="383"/>
      <c r="N27" s="383"/>
      <c r="O27" s="383"/>
      <c r="P27" s="383"/>
      <c r="Q27" s="383"/>
      <c r="R27" s="383"/>
      <c r="S27" s="383"/>
      <c r="T27" s="382"/>
    </row>
    <row r="28" spans="2:36" ht="15" customHeight="1">
      <c r="B28" s="546" t="s">
        <v>467</v>
      </c>
      <c r="C28" s="547"/>
      <c r="E28" s="374" t="s">
        <v>405</v>
      </c>
      <c r="F28" s="17"/>
      <c r="G28" s="17"/>
      <c r="H28" s="17"/>
      <c r="J28" s="381">
        <f>'Discount Factor'!C15</f>
        <v>0.1687014473022781</v>
      </c>
      <c r="K28" s="381">
        <f>'Discount Factor'!D15</f>
        <v>0.16102655516896508</v>
      </c>
      <c r="L28" s="381">
        <f>'Discount Factor'!E15</f>
        <v>0.15323062892417599</v>
      </c>
      <c r="M28" s="381">
        <f>'Discount Factor'!F15</f>
        <v>0.15077648308522448</v>
      </c>
      <c r="N28" s="381">
        <f>'Discount Factor'!G15</f>
        <v>0.1483223372462725</v>
      </c>
      <c r="O28" s="381">
        <f>'Discount Factor'!H15</f>
        <v>0.14836819140732055</v>
      </c>
      <c r="P28" s="381">
        <f>'Discount Factor'!I15</f>
        <v>0.14841404556836857</v>
      </c>
      <c r="Q28" s="381">
        <f>'Discount Factor'!J15</f>
        <v>0.14845989972941659</v>
      </c>
      <c r="R28" s="381">
        <f>'Discount Factor'!K15</f>
        <v>0.14850575389046464</v>
      </c>
      <c r="S28" s="381">
        <f>'Discount Factor'!L15</f>
        <v>0.14855160805151266</v>
      </c>
      <c r="T28" s="381"/>
    </row>
    <row r="29" spans="2:36" ht="15" customHeight="1">
      <c r="B29" s="374" t="s">
        <v>466</v>
      </c>
      <c r="C29" s="380">
        <f ca="1">S16</f>
        <v>1905.161317729963</v>
      </c>
      <c r="E29" s="374" t="s">
        <v>505</v>
      </c>
      <c r="F29" s="17"/>
      <c r="G29" s="17"/>
      <c r="H29" s="17"/>
      <c r="I29" s="178"/>
      <c r="J29" s="178">
        <f>Beta!$H$18</f>
        <v>6.1556915999999999</v>
      </c>
      <c r="K29" s="178">
        <f>Beta!$H$18</f>
        <v>6.1556915999999999</v>
      </c>
      <c r="L29" s="178">
        <f>Beta!$H$18</f>
        <v>6.1556915999999999</v>
      </c>
      <c r="M29" s="178">
        <f>Beta!$H$18</f>
        <v>6.1556915999999999</v>
      </c>
      <c r="N29" s="178">
        <f>Beta!$H$18</f>
        <v>6.1556915999999999</v>
      </c>
      <c r="O29" s="178">
        <f>Beta!$H$18</f>
        <v>6.1556915999999999</v>
      </c>
      <c r="P29" s="178">
        <f>Beta!$H$18</f>
        <v>6.1556915999999999</v>
      </c>
      <c r="Q29" s="178">
        <f>Beta!$H$18</f>
        <v>6.1556915999999999</v>
      </c>
      <c r="R29" s="178">
        <f>Beta!$H$18</f>
        <v>6.1556915999999999</v>
      </c>
      <c r="S29" s="178">
        <f>Beta!$H$18</f>
        <v>6.1556915999999999</v>
      </c>
      <c r="T29" s="17"/>
    </row>
    <row r="30" spans="2:36" ht="15" customHeight="1">
      <c r="B30" s="374" t="s">
        <v>405</v>
      </c>
      <c r="C30" s="379">
        <f>'Discount Factor'!L15</f>
        <v>0.14855160805151266</v>
      </c>
      <c r="E30" s="374" t="s">
        <v>506</v>
      </c>
      <c r="F30" s="17"/>
      <c r="G30" s="17"/>
      <c r="H30" s="17"/>
      <c r="I30" s="178"/>
      <c r="J30" s="178">
        <f>BS!U54/1000</f>
        <v>4.3584351313868614</v>
      </c>
      <c r="K30" s="178">
        <f>BS!V54/1000</f>
        <v>4.3298942408759116</v>
      </c>
      <c r="L30" s="178">
        <f>BS!W54/1000</f>
        <v>4.2238193284671528</v>
      </c>
      <c r="M30" s="178">
        <f>BS!X54/1000</f>
        <v>4.1311628649635042</v>
      </c>
      <c r="N30" s="178">
        <f>BS!Y54/1000</f>
        <v>3.9911764014598541</v>
      </c>
      <c r="O30" s="178">
        <f>BS!Z54/1000</f>
        <v>4.003617437956204</v>
      </c>
      <c r="P30" s="178">
        <f>BS!AA54/1000</f>
        <v>4.0166974744525543</v>
      </c>
      <c r="Q30" s="178">
        <f>BS!AB54/1000</f>
        <v>4.0297775109489047</v>
      </c>
      <c r="R30" s="178">
        <f>BS!AC54/1000</f>
        <v>4.0428575474452551</v>
      </c>
      <c r="S30" s="178">
        <f>BS!AD54/1000</f>
        <v>4.0559375839416054</v>
      </c>
      <c r="T30" s="17"/>
    </row>
    <row r="31" spans="2:36" ht="15" customHeight="1">
      <c r="B31" s="378" t="s">
        <v>465</v>
      </c>
      <c r="C31" s="377">
        <v>5.5E-2</v>
      </c>
      <c r="E31" s="374" t="s">
        <v>507</v>
      </c>
      <c r="F31" s="373"/>
      <c r="G31" s="373"/>
      <c r="H31" s="373"/>
      <c r="I31" s="373"/>
      <c r="J31" s="381">
        <f>J29/(J29+J30)</f>
        <v>0.58546865158320538</v>
      </c>
      <c r="K31" s="381">
        <f t="shared" ref="K31:S31" si="17">K29/(K29+K30)</f>
        <v>0.58706224844426869</v>
      </c>
      <c r="L31" s="381">
        <f t="shared" si="17"/>
        <v>0.59306181595870955</v>
      </c>
      <c r="M31" s="381">
        <f t="shared" si="17"/>
        <v>0.59840368316339732</v>
      </c>
      <c r="N31" s="381">
        <f t="shared" si="17"/>
        <v>0.60665927645006967</v>
      </c>
      <c r="O31" s="381">
        <f t="shared" si="17"/>
        <v>0.60591636468599541</v>
      </c>
      <c r="P31" s="381">
        <f t="shared" si="17"/>
        <v>0.60513725487159276</v>
      </c>
      <c r="Q31" s="381">
        <f t="shared" si="17"/>
        <v>0.60436014610097033</v>
      </c>
      <c r="R31" s="381">
        <f t="shared" si="17"/>
        <v>0.60358503067487845</v>
      </c>
      <c r="S31" s="381">
        <f t="shared" si="17"/>
        <v>0.60281190093351522</v>
      </c>
      <c r="T31" s="373"/>
    </row>
    <row r="32" spans="2:36" ht="15" customHeight="1">
      <c r="B32" s="376" t="s">
        <v>464</v>
      </c>
      <c r="C32" s="375">
        <f ca="1">C29*(1+C31)/(C30-C31)</f>
        <v>21484.88125504339</v>
      </c>
      <c r="E32" s="374" t="s">
        <v>508</v>
      </c>
      <c r="F32" s="373"/>
      <c r="G32" s="373"/>
      <c r="H32" s="373"/>
      <c r="I32" s="373"/>
      <c r="J32" s="381">
        <f>J30/(J30+J29)</f>
        <v>0.41453134841679468</v>
      </c>
      <c r="K32" s="381">
        <f t="shared" ref="K32:S32" si="18">K30/(K30+K29)</f>
        <v>0.41293775155573137</v>
      </c>
      <c r="L32" s="381">
        <f t="shared" si="18"/>
        <v>0.40693818404129056</v>
      </c>
      <c r="M32" s="381">
        <f t="shared" si="18"/>
        <v>0.40159631683660268</v>
      </c>
      <c r="N32" s="381">
        <f t="shared" si="18"/>
        <v>0.39334072354993027</v>
      </c>
      <c r="O32" s="381">
        <f t="shared" si="18"/>
        <v>0.39408363531400464</v>
      </c>
      <c r="P32" s="381">
        <f t="shared" si="18"/>
        <v>0.39486274512840736</v>
      </c>
      <c r="Q32" s="381">
        <f t="shared" si="18"/>
        <v>0.39563985389902973</v>
      </c>
      <c r="R32" s="381">
        <f t="shared" si="18"/>
        <v>0.39641496932512149</v>
      </c>
      <c r="S32" s="381">
        <f t="shared" si="18"/>
        <v>0.39718809906648478</v>
      </c>
      <c r="T32" s="373"/>
    </row>
    <row r="33" spans="2:20">
      <c r="B33" s="372"/>
      <c r="C33" s="371"/>
      <c r="E33" s="370" t="s">
        <v>472</v>
      </c>
      <c r="F33" s="369"/>
      <c r="G33" s="369"/>
      <c r="H33" s="369"/>
      <c r="I33" s="369"/>
      <c r="J33" s="435">
        <f>J28*J31+$C$18*J32</f>
        <v>0.14195901049699927</v>
      </c>
      <c r="K33" s="435">
        <f t="shared" ref="K33:S33" si="19">K28*K31+$C$18*K32</f>
        <v>0.13755617791752747</v>
      </c>
      <c r="L33" s="435">
        <f t="shared" si="19"/>
        <v>0.13327371256418263</v>
      </c>
      <c r="M33" s="435">
        <f t="shared" si="19"/>
        <v>0.1320671165892372</v>
      </c>
      <c r="N33" s="435">
        <f t="shared" si="19"/>
        <v>0.13096289366315939</v>
      </c>
      <c r="O33" s="435">
        <f t="shared" si="19"/>
        <v>0.13095789026527493</v>
      </c>
      <c r="P33" s="435">
        <f t="shared" si="19"/>
        <v>0.13095121787533415</v>
      </c>
      <c r="Q33" s="435">
        <f t="shared" si="19"/>
        <v>0.13094456262257242</v>
      </c>
      <c r="R33" s="435">
        <f t="shared" si="19"/>
        <v>0.13093792444105246</v>
      </c>
      <c r="S33" s="435">
        <f t="shared" si="19"/>
        <v>0.13093130326517477</v>
      </c>
      <c r="T33" s="369"/>
    </row>
    <row r="34" spans="2:20">
      <c r="B34" s="538" t="s">
        <v>463</v>
      </c>
      <c r="C34" s="539"/>
      <c r="I34" s="368">
        <v>1</v>
      </c>
      <c r="J34" s="368">
        <f t="shared" ref="J34:S34" si="20">I34</f>
        <v>1</v>
      </c>
      <c r="K34" s="368">
        <f t="shared" si="20"/>
        <v>1</v>
      </c>
      <c r="L34" s="368">
        <f t="shared" si="20"/>
        <v>1</v>
      </c>
      <c r="M34" s="368">
        <f t="shared" si="20"/>
        <v>1</v>
      </c>
      <c r="N34" s="368">
        <f t="shared" si="20"/>
        <v>1</v>
      </c>
      <c r="O34" s="368">
        <f t="shared" si="20"/>
        <v>1</v>
      </c>
      <c r="P34" s="368">
        <f t="shared" si="20"/>
        <v>1</v>
      </c>
      <c r="Q34" s="368">
        <f t="shared" si="20"/>
        <v>1</v>
      </c>
      <c r="R34" s="368">
        <f t="shared" si="20"/>
        <v>1</v>
      </c>
      <c r="S34" s="368">
        <f t="shared" si="20"/>
        <v>1</v>
      </c>
    </row>
    <row r="35" spans="2:20">
      <c r="B35" s="540">
        <f ca="1">T21/C9</f>
        <v>0.56370440302938574</v>
      </c>
      <c r="C35" s="541"/>
      <c r="I35" s="368">
        <v>2</v>
      </c>
      <c r="J35" s="368">
        <f t="shared" ref="J35:S35" si="21">I35</f>
        <v>2</v>
      </c>
      <c r="K35" s="368">
        <f t="shared" si="21"/>
        <v>2</v>
      </c>
      <c r="L35" s="368">
        <f t="shared" si="21"/>
        <v>2</v>
      </c>
      <c r="M35" s="368">
        <f t="shared" si="21"/>
        <v>2</v>
      </c>
      <c r="N35" s="368">
        <f t="shared" si="21"/>
        <v>2</v>
      </c>
      <c r="O35" s="368">
        <f t="shared" si="21"/>
        <v>2</v>
      </c>
      <c r="P35" s="368">
        <f t="shared" si="21"/>
        <v>2</v>
      </c>
      <c r="Q35" s="368">
        <f t="shared" si="21"/>
        <v>2</v>
      </c>
      <c r="R35" s="368">
        <f t="shared" si="21"/>
        <v>2</v>
      </c>
      <c r="S35" s="368">
        <f t="shared" si="21"/>
        <v>2</v>
      </c>
    </row>
    <row r="36" spans="2:20">
      <c r="B36" s="538" t="s">
        <v>462</v>
      </c>
      <c r="C36" s="539"/>
      <c r="I36" s="368">
        <v>3</v>
      </c>
      <c r="J36" s="368">
        <f t="shared" ref="J36:S36" si="22">I36</f>
        <v>3</v>
      </c>
      <c r="K36" s="368">
        <f t="shared" si="22"/>
        <v>3</v>
      </c>
      <c r="L36" s="368">
        <f t="shared" si="22"/>
        <v>3</v>
      </c>
      <c r="M36" s="368">
        <f t="shared" si="22"/>
        <v>3</v>
      </c>
      <c r="N36" s="368">
        <f t="shared" si="22"/>
        <v>3</v>
      </c>
      <c r="O36" s="368">
        <f t="shared" si="22"/>
        <v>3</v>
      </c>
      <c r="P36" s="368">
        <f t="shared" si="22"/>
        <v>3</v>
      </c>
      <c r="Q36" s="368">
        <f t="shared" si="22"/>
        <v>3</v>
      </c>
      <c r="R36" s="368">
        <f t="shared" si="22"/>
        <v>3</v>
      </c>
      <c r="S36" s="368">
        <f t="shared" si="22"/>
        <v>3</v>
      </c>
    </row>
    <row r="37" spans="2:20">
      <c r="B37" s="540">
        <f ca="1">T22/C14</f>
        <v>0.5873260552513897</v>
      </c>
      <c r="C37" s="541"/>
      <c r="I37" s="368">
        <v>4</v>
      </c>
      <c r="J37" s="368">
        <f t="shared" ref="J37:S37" si="23">I37</f>
        <v>4</v>
      </c>
      <c r="K37" s="368">
        <f t="shared" si="23"/>
        <v>4</v>
      </c>
      <c r="L37" s="368">
        <f t="shared" si="23"/>
        <v>4</v>
      </c>
      <c r="M37" s="368">
        <f t="shared" si="23"/>
        <v>4</v>
      </c>
      <c r="N37" s="368">
        <f t="shared" si="23"/>
        <v>4</v>
      </c>
      <c r="O37" s="368">
        <f t="shared" si="23"/>
        <v>4</v>
      </c>
      <c r="P37" s="368">
        <f t="shared" si="23"/>
        <v>4</v>
      </c>
      <c r="Q37" s="368">
        <f t="shared" si="23"/>
        <v>4</v>
      </c>
      <c r="R37" s="368">
        <f t="shared" si="23"/>
        <v>4</v>
      </c>
      <c r="S37" s="368">
        <f t="shared" si="23"/>
        <v>4</v>
      </c>
    </row>
    <row r="38" spans="2:20">
      <c r="I38" s="368">
        <v>5</v>
      </c>
      <c r="J38" s="368">
        <f t="shared" ref="J38:S38" si="24">I38</f>
        <v>5</v>
      </c>
      <c r="K38" s="368">
        <f t="shared" si="24"/>
        <v>5</v>
      </c>
      <c r="L38" s="368">
        <f t="shared" si="24"/>
        <v>5</v>
      </c>
      <c r="M38" s="368">
        <f t="shared" si="24"/>
        <v>5</v>
      </c>
      <c r="N38" s="368">
        <f t="shared" si="24"/>
        <v>5</v>
      </c>
      <c r="O38" s="368">
        <f t="shared" si="24"/>
        <v>5</v>
      </c>
      <c r="P38" s="368">
        <f t="shared" si="24"/>
        <v>5</v>
      </c>
      <c r="Q38" s="368">
        <f t="shared" si="24"/>
        <v>5</v>
      </c>
      <c r="R38" s="368">
        <f t="shared" si="24"/>
        <v>5</v>
      </c>
      <c r="S38" s="368">
        <f t="shared" si="24"/>
        <v>5</v>
      </c>
    </row>
    <row r="39" spans="2:20">
      <c r="I39" s="368">
        <v>6</v>
      </c>
      <c r="J39" s="368">
        <f t="shared" ref="J39:S39" si="25">I39</f>
        <v>6</v>
      </c>
      <c r="K39" s="368">
        <f t="shared" si="25"/>
        <v>6</v>
      </c>
      <c r="L39" s="368">
        <f t="shared" si="25"/>
        <v>6</v>
      </c>
      <c r="M39" s="368">
        <f t="shared" si="25"/>
        <v>6</v>
      </c>
      <c r="N39" s="368">
        <f t="shared" si="25"/>
        <v>6</v>
      </c>
      <c r="O39" s="368">
        <f t="shared" si="25"/>
        <v>6</v>
      </c>
      <c r="P39" s="368">
        <f t="shared" si="25"/>
        <v>6</v>
      </c>
      <c r="Q39" s="368">
        <f t="shared" si="25"/>
        <v>6</v>
      </c>
      <c r="R39" s="368">
        <f t="shared" si="25"/>
        <v>6</v>
      </c>
      <c r="S39" s="368">
        <f t="shared" si="25"/>
        <v>6</v>
      </c>
    </row>
    <row r="40" spans="2:20">
      <c r="I40" s="368">
        <v>7</v>
      </c>
      <c r="J40" s="368">
        <f t="shared" ref="J40:S40" si="26">I40</f>
        <v>7</v>
      </c>
      <c r="K40" s="368">
        <f t="shared" si="26"/>
        <v>7</v>
      </c>
      <c r="L40" s="368">
        <f t="shared" si="26"/>
        <v>7</v>
      </c>
      <c r="M40" s="368">
        <f t="shared" si="26"/>
        <v>7</v>
      </c>
      <c r="N40" s="368">
        <f t="shared" si="26"/>
        <v>7</v>
      </c>
      <c r="O40" s="368">
        <f t="shared" si="26"/>
        <v>7</v>
      </c>
      <c r="P40" s="368">
        <f t="shared" si="26"/>
        <v>7</v>
      </c>
      <c r="Q40" s="368">
        <f t="shared" si="26"/>
        <v>7</v>
      </c>
      <c r="R40" s="368">
        <f t="shared" si="26"/>
        <v>7</v>
      </c>
      <c r="S40" s="368">
        <f t="shared" si="26"/>
        <v>7</v>
      </c>
    </row>
    <row r="41" spans="2:20">
      <c r="B41" s="542" t="s">
        <v>575</v>
      </c>
      <c r="C41" s="543"/>
      <c r="I41" s="368">
        <v>8</v>
      </c>
      <c r="J41" s="368">
        <f t="shared" ref="J41:S41" si="27">I41</f>
        <v>8</v>
      </c>
      <c r="K41" s="368">
        <f t="shared" si="27"/>
        <v>8</v>
      </c>
      <c r="L41" s="368">
        <f t="shared" si="27"/>
        <v>8</v>
      </c>
      <c r="M41" s="368">
        <f t="shared" si="27"/>
        <v>8</v>
      </c>
      <c r="N41" s="368">
        <f t="shared" si="27"/>
        <v>8</v>
      </c>
      <c r="O41" s="368">
        <f t="shared" si="27"/>
        <v>8</v>
      </c>
      <c r="P41" s="368">
        <f t="shared" si="27"/>
        <v>8</v>
      </c>
      <c r="Q41" s="368">
        <f t="shared" si="27"/>
        <v>8</v>
      </c>
      <c r="R41" s="368">
        <f t="shared" si="27"/>
        <v>8</v>
      </c>
      <c r="S41" s="368">
        <f t="shared" si="27"/>
        <v>8</v>
      </c>
    </row>
    <row r="42" spans="2:20">
      <c r="B42" s="498" t="s">
        <v>576</v>
      </c>
      <c r="C42" s="499">
        <v>1</v>
      </c>
      <c r="I42" s="368">
        <v>9</v>
      </c>
      <c r="J42" s="368">
        <f t="shared" ref="J42:S42" si="28">I42</f>
        <v>9</v>
      </c>
      <c r="K42" s="368">
        <f t="shared" si="28"/>
        <v>9</v>
      </c>
      <c r="L42" s="368">
        <f t="shared" si="28"/>
        <v>9</v>
      </c>
      <c r="M42" s="368">
        <f t="shared" si="28"/>
        <v>9</v>
      </c>
      <c r="N42" s="368">
        <f t="shared" si="28"/>
        <v>9</v>
      </c>
      <c r="O42" s="368">
        <f t="shared" si="28"/>
        <v>9</v>
      </c>
      <c r="P42" s="368">
        <f t="shared" si="28"/>
        <v>9</v>
      </c>
      <c r="Q42" s="368">
        <f t="shared" si="28"/>
        <v>9</v>
      </c>
      <c r="R42" s="368">
        <f t="shared" si="28"/>
        <v>9</v>
      </c>
      <c r="S42" s="368">
        <f t="shared" si="28"/>
        <v>9</v>
      </c>
    </row>
    <row r="43" spans="2:20">
      <c r="B43" s="496" t="s">
        <v>577</v>
      </c>
      <c r="C43" s="499">
        <v>1</v>
      </c>
      <c r="I43" s="368">
        <v>10</v>
      </c>
      <c r="J43" s="368">
        <f t="shared" ref="J43:S43" si="29">I43</f>
        <v>10</v>
      </c>
      <c r="K43" s="368">
        <f t="shared" si="29"/>
        <v>10</v>
      </c>
      <c r="L43" s="368">
        <f t="shared" si="29"/>
        <v>10</v>
      </c>
      <c r="M43" s="368">
        <f t="shared" si="29"/>
        <v>10</v>
      </c>
      <c r="N43" s="368">
        <f t="shared" si="29"/>
        <v>10</v>
      </c>
      <c r="O43" s="368">
        <f t="shared" si="29"/>
        <v>10</v>
      </c>
      <c r="P43" s="368">
        <f t="shared" si="29"/>
        <v>10</v>
      </c>
      <c r="Q43" s="368">
        <f t="shared" si="29"/>
        <v>10</v>
      </c>
      <c r="R43" s="368">
        <f t="shared" si="29"/>
        <v>10</v>
      </c>
      <c r="S43" s="368">
        <f t="shared" si="29"/>
        <v>10</v>
      </c>
    </row>
    <row r="44" spans="2:20">
      <c r="B44" s="496" t="s">
        <v>578</v>
      </c>
      <c r="C44" s="499">
        <v>1</v>
      </c>
      <c r="I44" s="368">
        <v>11</v>
      </c>
      <c r="J44" s="368">
        <f t="shared" ref="J44:S44" si="30">I44</f>
        <v>11</v>
      </c>
      <c r="K44" s="368">
        <f t="shared" si="30"/>
        <v>11</v>
      </c>
      <c r="L44" s="368">
        <f t="shared" si="30"/>
        <v>11</v>
      </c>
      <c r="M44" s="368">
        <f t="shared" si="30"/>
        <v>11</v>
      </c>
      <c r="N44" s="368">
        <f t="shared" si="30"/>
        <v>11</v>
      </c>
      <c r="O44" s="368">
        <f t="shared" si="30"/>
        <v>11</v>
      </c>
      <c r="P44" s="368">
        <f t="shared" si="30"/>
        <v>11</v>
      </c>
      <c r="Q44" s="368">
        <f t="shared" si="30"/>
        <v>11</v>
      </c>
      <c r="R44" s="368">
        <f t="shared" si="30"/>
        <v>11</v>
      </c>
      <c r="S44" s="368">
        <f t="shared" si="30"/>
        <v>11</v>
      </c>
    </row>
    <row r="45" spans="2:20">
      <c r="B45" s="496" t="s">
        <v>579</v>
      </c>
      <c r="C45" s="499">
        <v>1</v>
      </c>
      <c r="I45" s="368">
        <v>12</v>
      </c>
      <c r="J45" s="368">
        <f t="shared" ref="J45:S45" si="31">I45</f>
        <v>12</v>
      </c>
      <c r="K45" s="368">
        <f t="shared" si="31"/>
        <v>12</v>
      </c>
      <c r="L45" s="368">
        <f t="shared" si="31"/>
        <v>12</v>
      </c>
      <c r="M45" s="368">
        <f t="shared" si="31"/>
        <v>12</v>
      </c>
      <c r="N45" s="368">
        <f t="shared" si="31"/>
        <v>12</v>
      </c>
      <c r="O45" s="368">
        <f t="shared" si="31"/>
        <v>12</v>
      </c>
      <c r="P45" s="368">
        <f t="shared" si="31"/>
        <v>12</v>
      </c>
      <c r="Q45" s="368">
        <f t="shared" si="31"/>
        <v>12</v>
      </c>
      <c r="R45" s="368">
        <f t="shared" si="31"/>
        <v>12</v>
      </c>
      <c r="S45" s="368">
        <f t="shared" si="31"/>
        <v>12</v>
      </c>
    </row>
    <row r="46" spans="2:20">
      <c r="B46" s="497" t="s">
        <v>580</v>
      </c>
      <c r="C46" s="499">
        <v>1</v>
      </c>
      <c r="I46" s="368">
        <v>13</v>
      </c>
      <c r="J46" s="368">
        <f t="shared" ref="J46:S46" si="32">I46</f>
        <v>13</v>
      </c>
      <c r="K46" s="368">
        <f t="shared" si="32"/>
        <v>13</v>
      </c>
      <c r="L46" s="368">
        <f t="shared" si="32"/>
        <v>13</v>
      </c>
      <c r="M46" s="368">
        <f t="shared" si="32"/>
        <v>13</v>
      </c>
      <c r="N46" s="368">
        <f t="shared" si="32"/>
        <v>13</v>
      </c>
      <c r="O46" s="368">
        <f t="shared" si="32"/>
        <v>13</v>
      </c>
      <c r="P46" s="368">
        <f t="shared" si="32"/>
        <v>13</v>
      </c>
      <c r="Q46" s="368">
        <f t="shared" si="32"/>
        <v>13</v>
      </c>
      <c r="R46" s="368">
        <f t="shared" si="32"/>
        <v>13</v>
      </c>
      <c r="S46" s="368">
        <f t="shared" si="32"/>
        <v>13</v>
      </c>
    </row>
    <row r="47" spans="2:20" ht="15" customHeight="1">
      <c r="B47" s="495"/>
      <c r="I47" s="368">
        <v>14</v>
      </c>
      <c r="J47" s="368">
        <f t="shared" ref="J47:S47" si="33">I47</f>
        <v>14</v>
      </c>
      <c r="K47" s="368">
        <f t="shared" si="33"/>
        <v>14</v>
      </c>
      <c r="L47" s="368">
        <f t="shared" si="33"/>
        <v>14</v>
      </c>
      <c r="M47" s="368">
        <f t="shared" si="33"/>
        <v>14</v>
      </c>
      <c r="N47" s="368">
        <f t="shared" si="33"/>
        <v>14</v>
      </c>
      <c r="O47" s="368">
        <f t="shared" si="33"/>
        <v>14</v>
      </c>
      <c r="P47" s="368">
        <f t="shared" si="33"/>
        <v>14</v>
      </c>
      <c r="Q47" s="368">
        <f t="shared" si="33"/>
        <v>14</v>
      </c>
      <c r="R47" s="368">
        <f t="shared" si="33"/>
        <v>14</v>
      </c>
      <c r="S47" s="368">
        <f t="shared" si="33"/>
        <v>14</v>
      </c>
    </row>
    <row r="48" spans="2:20">
      <c r="B48" s="495"/>
      <c r="I48" s="368">
        <v>15</v>
      </c>
      <c r="J48" s="368">
        <f t="shared" ref="J48:S48" si="34">I48</f>
        <v>15</v>
      </c>
      <c r="K48" s="368">
        <f t="shared" si="34"/>
        <v>15</v>
      </c>
      <c r="L48" s="368">
        <f t="shared" si="34"/>
        <v>15</v>
      </c>
      <c r="M48" s="368">
        <f t="shared" si="34"/>
        <v>15</v>
      </c>
      <c r="N48" s="368">
        <f t="shared" si="34"/>
        <v>15</v>
      </c>
      <c r="O48" s="368">
        <f t="shared" si="34"/>
        <v>15</v>
      </c>
      <c r="P48" s="368">
        <f t="shared" si="34"/>
        <v>15</v>
      </c>
      <c r="Q48" s="368">
        <f t="shared" si="34"/>
        <v>15</v>
      </c>
      <c r="R48" s="368">
        <f t="shared" si="34"/>
        <v>15</v>
      </c>
      <c r="S48" s="368">
        <f t="shared" si="34"/>
        <v>15</v>
      </c>
    </row>
    <row r="49" spans="1:19">
      <c r="B49" s="495"/>
      <c r="I49" s="368">
        <v>16</v>
      </c>
      <c r="J49" s="368">
        <f t="shared" ref="J49:S49" si="35">I49</f>
        <v>16</v>
      </c>
      <c r="K49" s="368">
        <f t="shared" si="35"/>
        <v>16</v>
      </c>
      <c r="L49" s="368">
        <f t="shared" si="35"/>
        <v>16</v>
      </c>
      <c r="M49" s="368">
        <f t="shared" si="35"/>
        <v>16</v>
      </c>
      <c r="N49" s="368">
        <f t="shared" si="35"/>
        <v>16</v>
      </c>
      <c r="O49" s="368">
        <f t="shared" si="35"/>
        <v>16</v>
      </c>
      <c r="P49" s="368">
        <f t="shared" si="35"/>
        <v>16</v>
      </c>
      <c r="Q49" s="368">
        <f t="shared" si="35"/>
        <v>16</v>
      </c>
      <c r="R49" s="368">
        <f t="shared" si="35"/>
        <v>16</v>
      </c>
      <c r="S49" s="368">
        <f t="shared" si="35"/>
        <v>16</v>
      </c>
    </row>
    <row r="50" spans="1:19">
      <c r="B50" s="495"/>
      <c r="I50" s="368">
        <v>17</v>
      </c>
      <c r="J50" s="368">
        <f t="shared" ref="J50:S50" si="36">I50</f>
        <v>17</v>
      </c>
      <c r="K50" s="368">
        <f t="shared" si="36"/>
        <v>17</v>
      </c>
      <c r="L50" s="368">
        <f t="shared" si="36"/>
        <v>17</v>
      </c>
      <c r="M50" s="368">
        <f t="shared" si="36"/>
        <v>17</v>
      </c>
      <c r="N50" s="368">
        <f t="shared" si="36"/>
        <v>17</v>
      </c>
      <c r="O50" s="368">
        <f t="shared" si="36"/>
        <v>17</v>
      </c>
      <c r="P50" s="368">
        <f t="shared" si="36"/>
        <v>17</v>
      </c>
      <c r="Q50" s="368">
        <f t="shared" si="36"/>
        <v>17</v>
      </c>
      <c r="R50" s="368">
        <f t="shared" si="36"/>
        <v>17</v>
      </c>
      <c r="S50" s="368">
        <f t="shared" si="36"/>
        <v>17</v>
      </c>
    </row>
    <row r="51" spans="1:19">
      <c r="B51" s="495"/>
      <c r="I51" s="368">
        <v>18</v>
      </c>
      <c r="J51" s="368">
        <f t="shared" ref="J51:S51" si="37">I51</f>
        <v>18</v>
      </c>
      <c r="K51" s="368">
        <f t="shared" si="37"/>
        <v>18</v>
      </c>
      <c r="L51" s="368">
        <f t="shared" si="37"/>
        <v>18</v>
      </c>
      <c r="M51" s="368">
        <f t="shared" si="37"/>
        <v>18</v>
      </c>
      <c r="N51" s="368">
        <f t="shared" si="37"/>
        <v>18</v>
      </c>
      <c r="O51" s="368">
        <f t="shared" si="37"/>
        <v>18</v>
      </c>
      <c r="P51" s="368">
        <f t="shared" si="37"/>
        <v>18</v>
      </c>
      <c r="Q51" s="368">
        <f t="shared" si="37"/>
        <v>18</v>
      </c>
      <c r="R51" s="368">
        <f t="shared" si="37"/>
        <v>18</v>
      </c>
      <c r="S51" s="368">
        <f t="shared" si="37"/>
        <v>18</v>
      </c>
    </row>
    <row r="52" spans="1:19">
      <c r="A52" t="s">
        <v>232</v>
      </c>
      <c r="B52" s="495"/>
      <c r="I52" s="368">
        <v>19</v>
      </c>
      <c r="J52" s="368">
        <f t="shared" ref="J52:S52" si="38">I52</f>
        <v>19</v>
      </c>
      <c r="K52" s="368">
        <f t="shared" si="38"/>
        <v>19</v>
      </c>
      <c r="L52" s="368">
        <f t="shared" si="38"/>
        <v>19</v>
      </c>
      <c r="M52" s="368">
        <f t="shared" si="38"/>
        <v>19</v>
      </c>
      <c r="N52" s="368">
        <f t="shared" si="38"/>
        <v>19</v>
      </c>
      <c r="O52" s="368">
        <f t="shared" si="38"/>
        <v>19</v>
      </c>
      <c r="P52" s="368">
        <f t="shared" si="38"/>
        <v>19</v>
      </c>
      <c r="Q52" s="368">
        <f t="shared" si="38"/>
        <v>19</v>
      </c>
      <c r="R52" s="368">
        <f t="shared" si="38"/>
        <v>19</v>
      </c>
      <c r="S52" s="368">
        <f t="shared" si="38"/>
        <v>19</v>
      </c>
    </row>
    <row r="53" spans="1:19">
      <c r="B53" s="495"/>
      <c r="I53" s="368">
        <v>20</v>
      </c>
      <c r="J53" s="368">
        <f t="shared" ref="J53:S53" si="39">I53</f>
        <v>20</v>
      </c>
      <c r="K53" s="368">
        <f t="shared" si="39"/>
        <v>20</v>
      </c>
      <c r="L53" s="368">
        <f t="shared" si="39"/>
        <v>20</v>
      </c>
      <c r="M53" s="368">
        <f t="shared" si="39"/>
        <v>20</v>
      </c>
      <c r="N53" s="368">
        <f t="shared" si="39"/>
        <v>20</v>
      </c>
      <c r="O53" s="368">
        <f t="shared" si="39"/>
        <v>20</v>
      </c>
      <c r="P53" s="368">
        <f t="shared" si="39"/>
        <v>20</v>
      </c>
      <c r="Q53" s="368">
        <f t="shared" si="39"/>
        <v>20</v>
      </c>
      <c r="R53" s="368">
        <f t="shared" si="39"/>
        <v>20</v>
      </c>
      <c r="S53" s="368">
        <f t="shared" si="39"/>
        <v>20</v>
      </c>
    </row>
    <row r="54" spans="1:19">
      <c r="I54" s="368">
        <v>21</v>
      </c>
      <c r="J54" s="368">
        <f t="shared" ref="J54:S54" si="40">I54</f>
        <v>21</v>
      </c>
      <c r="K54" s="368">
        <f t="shared" si="40"/>
        <v>21</v>
      </c>
      <c r="L54" s="368">
        <f t="shared" si="40"/>
        <v>21</v>
      </c>
      <c r="M54" s="368">
        <f t="shared" si="40"/>
        <v>21</v>
      </c>
      <c r="N54" s="368">
        <f t="shared" si="40"/>
        <v>21</v>
      </c>
      <c r="O54" s="368">
        <f t="shared" si="40"/>
        <v>21</v>
      </c>
      <c r="P54" s="368">
        <f t="shared" si="40"/>
        <v>21</v>
      </c>
      <c r="Q54" s="368">
        <f t="shared" si="40"/>
        <v>21</v>
      </c>
      <c r="R54" s="368">
        <f t="shared" si="40"/>
        <v>21</v>
      </c>
      <c r="S54" s="368">
        <f t="shared" si="40"/>
        <v>21</v>
      </c>
    </row>
    <row r="55" spans="1:19">
      <c r="I55" s="368">
        <v>22</v>
      </c>
      <c r="J55" s="368">
        <f t="shared" ref="J55:S55" si="41">I55</f>
        <v>22</v>
      </c>
      <c r="K55" s="368">
        <f t="shared" si="41"/>
        <v>22</v>
      </c>
      <c r="L55" s="368">
        <f t="shared" si="41"/>
        <v>22</v>
      </c>
      <c r="M55" s="368">
        <f t="shared" si="41"/>
        <v>22</v>
      </c>
      <c r="N55" s="368">
        <f t="shared" si="41"/>
        <v>22</v>
      </c>
      <c r="O55" s="368">
        <f t="shared" si="41"/>
        <v>22</v>
      </c>
      <c r="P55" s="368">
        <f t="shared" si="41"/>
        <v>22</v>
      </c>
      <c r="Q55" s="368">
        <f t="shared" si="41"/>
        <v>22</v>
      </c>
      <c r="R55" s="368">
        <f t="shared" si="41"/>
        <v>22</v>
      </c>
      <c r="S55" s="368">
        <f t="shared" si="41"/>
        <v>22</v>
      </c>
    </row>
    <row r="56" spans="1:19">
      <c r="I56" s="368">
        <v>23</v>
      </c>
      <c r="J56" s="368">
        <f t="shared" ref="J56:S56" si="42">I56</f>
        <v>23</v>
      </c>
      <c r="K56" s="368">
        <f t="shared" si="42"/>
        <v>23</v>
      </c>
      <c r="L56" s="368">
        <f t="shared" si="42"/>
        <v>23</v>
      </c>
      <c r="M56" s="368">
        <f t="shared" si="42"/>
        <v>23</v>
      </c>
      <c r="N56" s="368">
        <f t="shared" si="42"/>
        <v>23</v>
      </c>
      <c r="O56" s="368">
        <f t="shared" si="42"/>
        <v>23</v>
      </c>
      <c r="P56" s="368">
        <f t="shared" si="42"/>
        <v>23</v>
      </c>
      <c r="Q56" s="368">
        <f t="shared" si="42"/>
        <v>23</v>
      </c>
      <c r="R56" s="368">
        <f t="shared" si="42"/>
        <v>23</v>
      </c>
      <c r="S56" s="368">
        <f t="shared" si="42"/>
        <v>23</v>
      </c>
    </row>
    <row r="57" spans="1:19">
      <c r="I57" s="368">
        <v>24</v>
      </c>
      <c r="J57" s="368">
        <f t="shared" ref="J57:S57" si="43">I57</f>
        <v>24</v>
      </c>
      <c r="K57" s="368">
        <f t="shared" si="43"/>
        <v>24</v>
      </c>
      <c r="L57" s="368">
        <f t="shared" si="43"/>
        <v>24</v>
      </c>
      <c r="M57" s="368">
        <f t="shared" si="43"/>
        <v>24</v>
      </c>
      <c r="N57" s="368">
        <f t="shared" si="43"/>
        <v>24</v>
      </c>
      <c r="O57" s="368">
        <f t="shared" si="43"/>
        <v>24</v>
      </c>
      <c r="P57" s="368">
        <f t="shared" si="43"/>
        <v>24</v>
      </c>
      <c r="Q57" s="368">
        <f t="shared" si="43"/>
        <v>24</v>
      </c>
      <c r="R57" s="368">
        <f t="shared" si="43"/>
        <v>24</v>
      </c>
      <c r="S57" s="368">
        <f t="shared" si="43"/>
        <v>24</v>
      </c>
    </row>
    <row r="58" spans="1:19">
      <c r="I58" s="368">
        <v>25</v>
      </c>
      <c r="J58" s="368">
        <f t="shared" ref="J58:S58" si="44">I58</f>
        <v>25</v>
      </c>
      <c r="K58" s="368">
        <f t="shared" si="44"/>
        <v>25</v>
      </c>
      <c r="L58" s="368">
        <f t="shared" si="44"/>
        <v>25</v>
      </c>
      <c r="M58" s="368">
        <f t="shared" si="44"/>
        <v>25</v>
      </c>
      <c r="N58" s="368">
        <f t="shared" si="44"/>
        <v>25</v>
      </c>
      <c r="O58" s="368">
        <f t="shared" si="44"/>
        <v>25</v>
      </c>
      <c r="P58" s="368">
        <f t="shared" si="44"/>
        <v>25</v>
      </c>
      <c r="Q58" s="368">
        <f t="shared" si="44"/>
        <v>25</v>
      </c>
      <c r="R58" s="368">
        <f t="shared" si="44"/>
        <v>25</v>
      </c>
      <c r="S58" s="368">
        <f t="shared" si="44"/>
        <v>25</v>
      </c>
    </row>
    <row r="59" spans="1:19">
      <c r="I59" s="368">
        <v>26</v>
      </c>
      <c r="J59" s="368">
        <f t="shared" ref="J59:S59" si="45">I59</f>
        <v>26</v>
      </c>
      <c r="K59" s="368">
        <f t="shared" si="45"/>
        <v>26</v>
      </c>
      <c r="L59" s="368">
        <f t="shared" si="45"/>
        <v>26</v>
      </c>
      <c r="M59" s="368">
        <f t="shared" si="45"/>
        <v>26</v>
      </c>
      <c r="N59" s="368">
        <f t="shared" si="45"/>
        <v>26</v>
      </c>
      <c r="O59" s="368">
        <f t="shared" si="45"/>
        <v>26</v>
      </c>
      <c r="P59" s="368">
        <f t="shared" si="45"/>
        <v>26</v>
      </c>
      <c r="Q59" s="368">
        <f t="shared" si="45"/>
        <v>26</v>
      </c>
      <c r="R59" s="368">
        <f t="shared" si="45"/>
        <v>26</v>
      </c>
      <c r="S59" s="368">
        <f t="shared" si="45"/>
        <v>26</v>
      </c>
    </row>
    <row r="60" spans="1:19">
      <c r="I60" s="368">
        <v>27</v>
      </c>
      <c r="J60" s="368">
        <f t="shared" ref="J60:S60" si="46">I60</f>
        <v>27</v>
      </c>
      <c r="K60" s="368">
        <f t="shared" si="46"/>
        <v>27</v>
      </c>
      <c r="L60" s="368">
        <f t="shared" si="46"/>
        <v>27</v>
      </c>
      <c r="M60" s="368">
        <f t="shared" si="46"/>
        <v>27</v>
      </c>
      <c r="N60" s="368">
        <f t="shared" si="46"/>
        <v>27</v>
      </c>
      <c r="O60" s="368">
        <f t="shared" si="46"/>
        <v>27</v>
      </c>
      <c r="P60" s="368">
        <f t="shared" si="46"/>
        <v>27</v>
      </c>
      <c r="Q60" s="368">
        <f t="shared" si="46"/>
        <v>27</v>
      </c>
      <c r="R60" s="368">
        <f t="shared" si="46"/>
        <v>27</v>
      </c>
      <c r="S60" s="368">
        <f t="shared" si="46"/>
        <v>27</v>
      </c>
    </row>
    <row r="61" spans="1:19">
      <c r="I61" s="368">
        <v>28</v>
      </c>
      <c r="J61" s="368">
        <f t="shared" ref="J61:S61" si="47">I61</f>
        <v>28</v>
      </c>
      <c r="K61" s="368">
        <f t="shared" si="47"/>
        <v>28</v>
      </c>
      <c r="L61" s="368">
        <f t="shared" si="47"/>
        <v>28</v>
      </c>
      <c r="M61" s="368">
        <f t="shared" si="47"/>
        <v>28</v>
      </c>
      <c r="N61" s="368">
        <f t="shared" si="47"/>
        <v>28</v>
      </c>
      <c r="O61" s="368">
        <f t="shared" si="47"/>
        <v>28</v>
      </c>
      <c r="P61" s="368">
        <f t="shared" si="47"/>
        <v>28</v>
      </c>
      <c r="Q61" s="368">
        <f t="shared" si="47"/>
        <v>28</v>
      </c>
      <c r="R61" s="368">
        <f t="shared" si="47"/>
        <v>28</v>
      </c>
      <c r="S61" s="368">
        <f t="shared" si="47"/>
        <v>28</v>
      </c>
    </row>
    <row r="62" spans="1:19">
      <c r="I62" s="368">
        <v>29</v>
      </c>
      <c r="J62" s="368">
        <f t="shared" ref="J62:S62" si="48">I62</f>
        <v>29</v>
      </c>
      <c r="K62" s="368">
        <f t="shared" si="48"/>
        <v>29</v>
      </c>
      <c r="L62" s="368">
        <f t="shared" si="48"/>
        <v>29</v>
      </c>
      <c r="M62" s="368">
        <f t="shared" si="48"/>
        <v>29</v>
      </c>
      <c r="N62" s="368">
        <f t="shared" si="48"/>
        <v>29</v>
      </c>
      <c r="O62" s="368">
        <f t="shared" si="48"/>
        <v>29</v>
      </c>
      <c r="P62" s="368">
        <f t="shared" si="48"/>
        <v>29</v>
      </c>
      <c r="Q62" s="368">
        <f t="shared" si="48"/>
        <v>29</v>
      </c>
      <c r="R62" s="368">
        <f t="shared" si="48"/>
        <v>29</v>
      </c>
      <c r="S62" s="368">
        <f t="shared" si="48"/>
        <v>29</v>
      </c>
    </row>
    <row r="63" spans="1:19">
      <c r="I63" s="368">
        <v>30</v>
      </c>
      <c r="J63" s="368">
        <f t="shared" ref="J63:S63" si="49">I63</f>
        <v>30</v>
      </c>
      <c r="K63" s="368">
        <f t="shared" si="49"/>
        <v>30</v>
      </c>
      <c r="L63" s="368">
        <f t="shared" si="49"/>
        <v>30</v>
      </c>
      <c r="M63" s="368">
        <f t="shared" si="49"/>
        <v>30</v>
      </c>
      <c r="N63" s="368">
        <f t="shared" si="49"/>
        <v>30</v>
      </c>
      <c r="O63" s="368">
        <f t="shared" si="49"/>
        <v>30</v>
      </c>
      <c r="P63" s="368">
        <f t="shared" si="49"/>
        <v>30</v>
      </c>
      <c r="Q63" s="368">
        <f t="shared" si="49"/>
        <v>30</v>
      </c>
      <c r="R63" s="368">
        <f t="shared" si="49"/>
        <v>30</v>
      </c>
      <c r="S63" s="368">
        <f t="shared" si="49"/>
        <v>30</v>
      </c>
    </row>
    <row r="64" spans="1:19">
      <c r="I64" s="368">
        <v>31</v>
      </c>
      <c r="J64" s="368">
        <f t="shared" ref="J64:S64" si="50">I64</f>
        <v>31</v>
      </c>
      <c r="K64" s="368">
        <f t="shared" si="50"/>
        <v>31</v>
      </c>
      <c r="L64" s="368">
        <f t="shared" si="50"/>
        <v>31</v>
      </c>
      <c r="M64" s="368">
        <f t="shared" si="50"/>
        <v>31</v>
      </c>
      <c r="N64" s="368">
        <f t="shared" si="50"/>
        <v>31</v>
      </c>
      <c r="O64" s="368">
        <f t="shared" si="50"/>
        <v>31</v>
      </c>
      <c r="P64" s="368">
        <f t="shared" si="50"/>
        <v>31</v>
      </c>
      <c r="Q64" s="368">
        <f t="shared" si="50"/>
        <v>31</v>
      </c>
      <c r="R64" s="368">
        <f t="shared" si="50"/>
        <v>31</v>
      </c>
      <c r="S64" s="368">
        <f t="shared" si="50"/>
        <v>31</v>
      </c>
    </row>
    <row r="65" spans="9:19">
      <c r="I65" s="368">
        <v>32</v>
      </c>
      <c r="J65" s="368">
        <f t="shared" ref="J65:S65" si="51">I65</f>
        <v>32</v>
      </c>
      <c r="K65" s="368">
        <f t="shared" si="51"/>
        <v>32</v>
      </c>
      <c r="L65" s="368">
        <f t="shared" si="51"/>
        <v>32</v>
      </c>
      <c r="M65" s="368">
        <f t="shared" si="51"/>
        <v>32</v>
      </c>
      <c r="N65" s="368">
        <f t="shared" si="51"/>
        <v>32</v>
      </c>
      <c r="O65" s="368">
        <f t="shared" si="51"/>
        <v>32</v>
      </c>
      <c r="P65" s="368">
        <f t="shared" si="51"/>
        <v>32</v>
      </c>
      <c r="Q65" s="368">
        <f t="shared" si="51"/>
        <v>32</v>
      </c>
      <c r="R65" s="368">
        <f t="shared" si="51"/>
        <v>32</v>
      </c>
      <c r="S65" s="368">
        <f t="shared" si="51"/>
        <v>32</v>
      </c>
    </row>
    <row r="66" spans="9:19">
      <c r="I66" s="368">
        <v>33</v>
      </c>
      <c r="J66" s="368">
        <f t="shared" ref="J66:S66" si="52">I66</f>
        <v>33</v>
      </c>
      <c r="K66" s="368">
        <f t="shared" si="52"/>
        <v>33</v>
      </c>
      <c r="L66" s="368">
        <f t="shared" si="52"/>
        <v>33</v>
      </c>
      <c r="M66" s="368">
        <f t="shared" si="52"/>
        <v>33</v>
      </c>
      <c r="N66" s="368">
        <f t="shared" si="52"/>
        <v>33</v>
      </c>
      <c r="O66" s="368">
        <f t="shared" si="52"/>
        <v>33</v>
      </c>
      <c r="P66" s="368">
        <f t="shared" si="52"/>
        <v>33</v>
      </c>
      <c r="Q66" s="368">
        <f t="shared" si="52"/>
        <v>33</v>
      </c>
      <c r="R66" s="368">
        <f t="shared" si="52"/>
        <v>33</v>
      </c>
      <c r="S66" s="368">
        <f t="shared" si="52"/>
        <v>33</v>
      </c>
    </row>
    <row r="67" spans="9:19">
      <c r="I67" s="368">
        <v>34</v>
      </c>
      <c r="J67" s="368">
        <f t="shared" ref="J67:S67" si="53">I67</f>
        <v>34</v>
      </c>
      <c r="K67" s="368">
        <f t="shared" si="53"/>
        <v>34</v>
      </c>
      <c r="L67" s="368">
        <f t="shared" si="53"/>
        <v>34</v>
      </c>
      <c r="M67" s="368">
        <f t="shared" si="53"/>
        <v>34</v>
      </c>
      <c r="N67" s="368">
        <f t="shared" si="53"/>
        <v>34</v>
      </c>
      <c r="O67" s="368">
        <f t="shared" si="53"/>
        <v>34</v>
      </c>
      <c r="P67" s="368">
        <f t="shared" si="53"/>
        <v>34</v>
      </c>
      <c r="Q67" s="368">
        <f t="shared" si="53"/>
        <v>34</v>
      </c>
      <c r="R67" s="368">
        <f t="shared" si="53"/>
        <v>34</v>
      </c>
      <c r="S67" s="368">
        <f t="shared" si="53"/>
        <v>34</v>
      </c>
    </row>
    <row r="68" spans="9:19">
      <c r="I68" s="368">
        <v>35</v>
      </c>
      <c r="J68" s="368">
        <f t="shared" ref="J68:S68" si="54">I68</f>
        <v>35</v>
      </c>
      <c r="K68" s="368">
        <f t="shared" si="54"/>
        <v>35</v>
      </c>
      <c r="L68" s="368">
        <f t="shared" si="54"/>
        <v>35</v>
      </c>
      <c r="M68" s="368">
        <f t="shared" si="54"/>
        <v>35</v>
      </c>
      <c r="N68" s="368">
        <f t="shared" si="54"/>
        <v>35</v>
      </c>
      <c r="O68" s="368">
        <f t="shared" si="54"/>
        <v>35</v>
      </c>
      <c r="P68" s="368">
        <f t="shared" si="54"/>
        <v>35</v>
      </c>
      <c r="Q68" s="368">
        <f t="shared" si="54"/>
        <v>35</v>
      </c>
      <c r="R68" s="368">
        <f t="shared" si="54"/>
        <v>35</v>
      </c>
      <c r="S68" s="368">
        <f t="shared" si="54"/>
        <v>35</v>
      </c>
    </row>
    <row r="69" spans="9:19">
      <c r="I69" s="368">
        <v>36</v>
      </c>
      <c r="J69" s="368">
        <f t="shared" ref="J69:S69" si="55">I69</f>
        <v>36</v>
      </c>
      <c r="K69" s="368">
        <f t="shared" si="55"/>
        <v>36</v>
      </c>
      <c r="L69" s="368">
        <f t="shared" si="55"/>
        <v>36</v>
      </c>
      <c r="M69" s="368">
        <f t="shared" si="55"/>
        <v>36</v>
      </c>
      <c r="N69" s="368">
        <f t="shared" si="55"/>
        <v>36</v>
      </c>
      <c r="O69" s="368">
        <f t="shared" si="55"/>
        <v>36</v>
      </c>
      <c r="P69" s="368">
        <f t="shared" si="55"/>
        <v>36</v>
      </c>
      <c r="Q69" s="368">
        <f t="shared" si="55"/>
        <v>36</v>
      </c>
      <c r="R69" s="368">
        <f t="shared" si="55"/>
        <v>36</v>
      </c>
      <c r="S69" s="368">
        <f t="shared" si="55"/>
        <v>36</v>
      </c>
    </row>
    <row r="70" spans="9:19">
      <c r="I70" s="368">
        <v>37</v>
      </c>
      <c r="J70" s="368">
        <f t="shared" ref="J70:S70" si="56">I70</f>
        <v>37</v>
      </c>
      <c r="K70" s="368">
        <f t="shared" si="56"/>
        <v>37</v>
      </c>
      <c r="L70" s="368">
        <f t="shared" si="56"/>
        <v>37</v>
      </c>
      <c r="M70" s="368">
        <f t="shared" si="56"/>
        <v>37</v>
      </c>
      <c r="N70" s="368">
        <f t="shared" si="56"/>
        <v>37</v>
      </c>
      <c r="O70" s="368">
        <f t="shared" si="56"/>
        <v>37</v>
      </c>
      <c r="P70" s="368">
        <f t="shared" si="56"/>
        <v>37</v>
      </c>
      <c r="Q70" s="368">
        <f t="shared" si="56"/>
        <v>37</v>
      </c>
      <c r="R70" s="368">
        <f t="shared" si="56"/>
        <v>37</v>
      </c>
      <c r="S70" s="368">
        <f t="shared" si="56"/>
        <v>37</v>
      </c>
    </row>
    <row r="71" spans="9:19">
      <c r="I71" s="368">
        <v>38</v>
      </c>
      <c r="J71" s="368">
        <f t="shared" ref="J71:S71" si="57">I71</f>
        <v>38</v>
      </c>
      <c r="K71" s="368">
        <f t="shared" si="57"/>
        <v>38</v>
      </c>
      <c r="L71" s="368">
        <f t="shared" si="57"/>
        <v>38</v>
      </c>
      <c r="M71" s="368">
        <f t="shared" si="57"/>
        <v>38</v>
      </c>
      <c r="N71" s="368">
        <f t="shared" si="57"/>
        <v>38</v>
      </c>
      <c r="O71" s="368">
        <f t="shared" si="57"/>
        <v>38</v>
      </c>
      <c r="P71" s="368">
        <f t="shared" si="57"/>
        <v>38</v>
      </c>
      <c r="Q71" s="368">
        <f t="shared" si="57"/>
        <v>38</v>
      </c>
      <c r="R71" s="368">
        <f t="shared" si="57"/>
        <v>38</v>
      </c>
      <c r="S71" s="368">
        <f t="shared" si="57"/>
        <v>38</v>
      </c>
    </row>
    <row r="72" spans="9:19">
      <c r="I72" s="368">
        <v>39</v>
      </c>
      <c r="J72" s="368">
        <f t="shared" ref="J72:S72" si="58">I72</f>
        <v>39</v>
      </c>
      <c r="K72" s="368">
        <f t="shared" si="58"/>
        <v>39</v>
      </c>
      <c r="L72" s="368">
        <f t="shared" si="58"/>
        <v>39</v>
      </c>
      <c r="M72" s="368">
        <f t="shared" si="58"/>
        <v>39</v>
      </c>
      <c r="N72" s="368">
        <f t="shared" si="58"/>
        <v>39</v>
      </c>
      <c r="O72" s="368">
        <f t="shared" si="58"/>
        <v>39</v>
      </c>
      <c r="P72" s="368">
        <f t="shared" si="58"/>
        <v>39</v>
      </c>
      <c r="Q72" s="368">
        <f t="shared" si="58"/>
        <v>39</v>
      </c>
      <c r="R72" s="368">
        <f t="shared" si="58"/>
        <v>39</v>
      </c>
      <c r="S72" s="368">
        <f t="shared" si="58"/>
        <v>39</v>
      </c>
    </row>
    <row r="73" spans="9:19">
      <c r="I73" s="368">
        <v>40</v>
      </c>
      <c r="J73" s="368">
        <f t="shared" ref="J73:S73" si="59">I73</f>
        <v>40</v>
      </c>
      <c r="K73" s="368">
        <f t="shared" si="59"/>
        <v>40</v>
      </c>
      <c r="L73" s="368">
        <f t="shared" si="59"/>
        <v>40</v>
      </c>
      <c r="M73" s="368">
        <f t="shared" si="59"/>
        <v>40</v>
      </c>
      <c r="N73" s="368">
        <f t="shared" si="59"/>
        <v>40</v>
      </c>
      <c r="O73" s="368">
        <f t="shared" si="59"/>
        <v>40</v>
      </c>
      <c r="P73" s="368">
        <f t="shared" si="59"/>
        <v>40</v>
      </c>
      <c r="Q73" s="368">
        <f t="shared" si="59"/>
        <v>40</v>
      </c>
      <c r="R73" s="368">
        <f t="shared" si="59"/>
        <v>40</v>
      </c>
      <c r="S73" s="368">
        <f t="shared" si="59"/>
        <v>40</v>
      </c>
    </row>
    <row r="74" spans="9:19">
      <c r="I74" s="368">
        <v>41</v>
      </c>
      <c r="J74" s="368">
        <f t="shared" ref="J74:S74" si="60">I74</f>
        <v>41</v>
      </c>
      <c r="K74" s="368">
        <f t="shared" si="60"/>
        <v>41</v>
      </c>
      <c r="L74" s="368">
        <f t="shared" si="60"/>
        <v>41</v>
      </c>
      <c r="M74" s="368">
        <f t="shared" si="60"/>
        <v>41</v>
      </c>
      <c r="N74" s="368">
        <f t="shared" si="60"/>
        <v>41</v>
      </c>
      <c r="O74" s="368">
        <f t="shared" si="60"/>
        <v>41</v>
      </c>
      <c r="P74" s="368">
        <f t="shared" si="60"/>
        <v>41</v>
      </c>
      <c r="Q74" s="368">
        <f t="shared" si="60"/>
        <v>41</v>
      </c>
      <c r="R74" s="368">
        <f t="shared" si="60"/>
        <v>41</v>
      </c>
      <c r="S74" s="368">
        <f t="shared" si="60"/>
        <v>41</v>
      </c>
    </row>
    <row r="75" spans="9:19">
      <c r="I75" s="368">
        <v>42</v>
      </c>
      <c r="J75" s="368">
        <f t="shared" ref="J75:S75" si="61">I75</f>
        <v>42</v>
      </c>
      <c r="K75" s="368">
        <f t="shared" si="61"/>
        <v>42</v>
      </c>
      <c r="L75" s="368">
        <f t="shared" si="61"/>
        <v>42</v>
      </c>
      <c r="M75" s="368">
        <f t="shared" si="61"/>
        <v>42</v>
      </c>
      <c r="N75" s="368">
        <f t="shared" si="61"/>
        <v>42</v>
      </c>
      <c r="O75" s="368">
        <f t="shared" si="61"/>
        <v>42</v>
      </c>
      <c r="P75" s="368">
        <f t="shared" si="61"/>
        <v>42</v>
      </c>
      <c r="Q75" s="368">
        <f t="shared" si="61"/>
        <v>42</v>
      </c>
      <c r="R75" s="368">
        <f t="shared" si="61"/>
        <v>42</v>
      </c>
      <c r="S75" s="368">
        <f t="shared" si="61"/>
        <v>42</v>
      </c>
    </row>
    <row r="76" spans="9:19">
      <c r="I76" s="368">
        <v>43</v>
      </c>
      <c r="J76" s="368">
        <f t="shared" ref="J76:S76" si="62">I76</f>
        <v>43</v>
      </c>
      <c r="K76" s="368">
        <f t="shared" si="62"/>
        <v>43</v>
      </c>
      <c r="L76" s="368">
        <f t="shared" si="62"/>
        <v>43</v>
      </c>
      <c r="M76" s="368">
        <f t="shared" si="62"/>
        <v>43</v>
      </c>
      <c r="N76" s="368">
        <f t="shared" si="62"/>
        <v>43</v>
      </c>
      <c r="O76" s="368">
        <f t="shared" si="62"/>
        <v>43</v>
      </c>
      <c r="P76" s="368">
        <f t="shared" si="62"/>
        <v>43</v>
      </c>
      <c r="Q76" s="368">
        <f t="shared" si="62"/>
        <v>43</v>
      </c>
      <c r="R76" s="368">
        <f t="shared" si="62"/>
        <v>43</v>
      </c>
      <c r="S76" s="368">
        <f t="shared" si="62"/>
        <v>43</v>
      </c>
    </row>
    <row r="77" spans="9:19">
      <c r="I77" s="368">
        <v>44</v>
      </c>
      <c r="J77" s="368">
        <f t="shared" ref="J77:S77" si="63">I77</f>
        <v>44</v>
      </c>
      <c r="K77" s="368">
        <f t="shared" si="63"/>
        <v>44</v>
      </c>
      <c r="L77" s="368">
        <f t="shared" si="63"/>
        <v>44</v>
      </c>
      <c r="M77" s="368">
        <f t="shared" si="63"/>
        <v>44</v>
      </c>
      <c r="N77" s="368">
        <f t="shared" si="63"/>
        <v>44</v>
      </c>
      <c r="O77" s="368">
        <f t="shared" si="63"/>
        <v>44</v>
      </c>
      <c r="P77" s="368">
        <f t="shared" si="63"/>
        <v>44</v>
      </c>
      <c r="Q77" s="368">
        <f t="shared" si="63"/>
        <v>44</v>
      </c>
      <c r="R77" s="368">
        <f t="shared" si="63"/>
        <v>44</v>
      </c>
      <c r="S77" s="368">
        <f t="shared" si="63"/>
        <v>44</v>
      </c>
    </row>
    <row r="78" spans="9:19">
      <c r="I78" s="368">
        <v>45</v>
      </c>
      <c r="J78" s="368">
        <f t="shared" ref="J78:S78" si="64">I78</f>
        <v>45</v>
      </c>
      <c r="K78" s="368">
        <f t="shared" si="64"/>
        <v>45</v>
      </c>
      <c r="L78" s="368">
        <f t="shared" si="64"/>
        <v>45</v>
      </c>
      <c r="M78" s="368">
        <f t="shared" si="64"/>
        <v>45</v>
      </c>
      <c r="N78" s="368">
        <f t="shared" si="64"/>
        <v>45</v>
      </c>
      <c r="O78" s="368">
        <f t="shared" si="64"/>
        <v>45</v>
      </c>
      <c r="P78" s="368">
        <f t="shared" si="64"/>
        <v>45</v>
      </c>
      <c r="Q78" s="368">
        <f t="shared" si="64"/>
        <v>45</v>
      </c>
      <c r="R78" s="368">
        <f t="shared" si="64"/>
        <v>45</v>
      </c>
      <c r="S78" s="368">
        <f t="shared" si="64"/>
        <v>45</v>
      </c>
    </row>
    <row r="79" spans="9:19">
      <c r="I79" s="368">
        <v>46</v>
      </c>
      <c r="J79" s="368">
        <f t="shared" ref="J79:S79" si="65">I79</f>
        <v>46</v>
      </c>
      <c r="K79" s="368">
        <f t="shared" si="65"/>
        <v>46</v>
      </c>
      <c r="L79" s="368">
        <f t="shared" si="65"/>
        <v>46</v>
      </c>
      <c r="M79" s="368">
        <f t="shared" si="65"/>
        <v>46</v>
      </c>
      <c r="N79" s="368">
        <f t="shared" si="65"/>
        <v>46</v>
      </c>
      <c r="O79" s="368">
        <f t="shared" si="65"/>
        <v>46</v>
      </c>
      <c r="P79" s="368">
        <f t="shared" si="65"/>
        <v>46</v>
      </c>
      <c r="Q79" s="368">
        <f t="shared" si="65"/>
        <v>46</v>
      </c>
      <c r="R79" s="368">
        <f t="shared" si="65"/>
        <v>46</v>
      </c>
      <c r="S79" s="368">
        <f t="shared" si="65"/>
        <v>46</v>
      </c>
    </row>
    <row r="80" spans="9:19">
      <c r="I80" s="368">
        <v>47</v>
      </c>
      <c r="J80" s="368">
        <f t="shared" ref="J80:S80" si="66">I80</f>
        <v>47</v>
      </c>
      <c r="K80" s="368">
        <f t="shared" si="66"/>
        <v>47</v>
      </c>
      <c r="L80" s="368">
        <f t="shared" si="66"/>
        <v>47</v>
      </c>
      <c r="M80" s="368">
        <f t="shared" si="66"/>
        <v>47</v>
      </c>
      <c r="N80" s="368">
        <f t="shared" si="66"/>
        <v>47</v>
      </c>
      <c r="O80" s="368">
        <f t="shared" si="66"/>
        <v>47</v>
      </c>
      <c r="P80" s="368">
        <f t="shared" si="66"/>
        <v>47</v>
      </c>
      <c r="Q80" s="368">
        <f t="shared" si="66"/>
        <v>47</v>
      </c>
      <c r="R80" s="368">
        <f t="shared" si="66"/>
        <v>47</v>
      </c>
      <c r="S80" s="368">
        <f t="shared" si="66"/>
        <v>47</v>
      </c>
    </row>
    <row r="81" spans="9:19">
      <c r="I81" s="368">
        <v>48</v>
      </c>
      <c r="J81" s="368">
        <f t="shared" ref="J81:S81" si="67">I81</f>
        <v>48</v>
      </c>
      <c r="K81" s="368">
        <f t="shared" si="67"/>
        <v>48</v>
      </c>
      <c r="L81" s="368">
        <f t="shared" si="67"/>
        <v>48</v>
      </c>
      <c r="M81" s="368">
        <f t="shared" si="67"/>
        <v>48</v>
      </c>
      <c r="N81" s="368">
        <f t="shared" si="67"/>
        <v>48</v>
      </c>
      <c r="O81" s="368">
        <f t="shared" si="67"/>
        <v>48</v>
      </c>
      <c r="P81" s="368">
        <f t="shared" si="67"/>
        <v>48</v>
      </c>
      <c r="Q81" s="368">
        <f t="shared" si="67"/>
        <v>48</v>
      </c>
      <c r="R81" s="368">
        <f t="shared" si="67"/>
        <v>48</v>
      </c>
      <c r="S81" s="368">
        <f t="shared" si="67"/>
        <v>48</v>
      </c>
    </row>
    <row r="82" spans="9:19">
      <c r="I82" s="368">
        <v>49</v>
      </c>
      <c r="J82" s="368">
        <f t="shared" ref="J82:S82" si="68">I82</f>
        <v>49</v>
      </c>
      <c r="K82" s="368">
        <f t="shared" si="68"/>
        <v>49</v>
      </c>
      <c r="L82" s="368">
        <f t="shared" si="68"/>
        <v>49</v>
      </c>
      <c r="M82" s="368">
        <f t="shared" si="68"/>
        <v>49</v>
      </c>
      <c r="N82" s="368">
        <f t="shared" si="68"/>
        <v>49</v>
      </c>
      <c r="O82" s="368">
        <f t="shared" si="68"/>
        <v>49</v>
      </c>
      <c r="P82" s="368">
        <f t="shared" si="68"/>
        <v>49</v>
      </c>
      <c r="Q82" s="368">
        <f t="shared" si="68"/>
        <v>49</v>
      </c>
      <c r="R82" s="368">
        <f t="shared" si="68"/>
        <v>49</v>
      </c>
      <c r="S82" s="368">
        <f t="shared" si="68"/>
        <v>49</v>
      </c>
    </row>
    <row r="83" spans="9:19">
      <c r="I83" s="368">
        <v>50</v>
      </c>
      <c r="J83" s="368">
        <f t="shared" ref="J83:S83" si="69">I83</f>
        <v>50</v>
      </c>
      <c r="K83" s="368">
        <f t="shared" si="69"/>
        <v>50</v>
      </c>
      <c r="L83" s="368">
        <f t="shared" si="69"/>
        <v>50</v>
      </c>
      <c r="M83" s="368">
        <f t="shared" si="69"/>
        <v>50</v>
      </c>
      <c r="N83" s="368">
        <f t="shared" si="69"/>
        <v>50</v>
      </c>
      <c r="O83" s="368">
        <f t="shared" si="69"/>
        <v>50</v>
      </c>
      <c r="P83" s="368">
        <f t="shared" si="69"/>
        <v>50</v>
      </c>
      <c r="Q83" s="368">
        <f t="shared" si="69"/>
        <v>50</v>
      </c>
      <c r="R83" s="368">
        <f t="shared" si="69"/>
        <v>50</v>
      </c>
      <c r="S83" s="368">
        <f t="shared" si="69"/>
        <v>50</v>
      </c>
    </row>
    <row r="87" spans="9:19">
      <c r="J87" s="367"/>
    </row>
    <row r="89" spans="9:19">
      <c r="J89" s="367"/>
    </row>
    <row r="105" spans="2:13">
      <c r="B105" s="534"/>
      <c r="C105" s="534"/>
    </row>
    <row r="106" spans="2:13">
      <c r="B106" s="537"/>
      <c r="C106" s="537"/>
    </row>
    <row r="107" spans="2:13">
      <c r="C107" s="17"/>
    </row>
    <row r="108" spans="2:13">
      <c r="C108" s="17"/>
    </row>
    <row r="109" spans="2:13">
      <c r="C109" s="366"/>
    </row>
    <row r="110" spans="2:13">
      <c r="C110" s="340"/>
    </row>
    <row r="111" spans="2:13">
      <c r="B111" s="537"/>
      <c r="C111" s="537"/>
      <c r="I111" s="277"/>
      <c r="J111" s="277"/>
      <c r="K111" s="277"/>
      <c r="L111" s="277"/>
      <c r="M111" s="277"/>
    </row>
    <row r="112" spans="2:13">
      <c r="C112" s="341"/>
    </row>
    <row r="113" spans="2:3">
      <c r="C113" s="341"/>
    </row>
    <row r="114" spans="2:3">
      <c r="C114" s="81"/>
    </row>
    <row r="115" spans="2:3">
      <c r="C115" s="341"/>
    </row>
    <row r="116" spans="2:3">
      <c r="B116" s="11"/>
      <c r="C116" s="364"/>
    </row>
    <row r="117" spans="2:3">
      <c r="B117" s="537"/>
      <c r="C117" s="537"/>
    </row>
    <row r="118" spans="2:3">
      <c r="C118" s="17"/>
    </row>
    <row r="119" spans="2:3">
      <c r="C119" s="17"/>
    </row>
    <row r="120" spans="2:3">
      <c r="C120" s="340"/>
    </row>
    <row r="121" spans="2:3">
      <c r="B121" s="11"/>
      <c r="C121" s="365"/>
    </row>
    <row r="122" spans="2:3">
      <c r="B122" s="11"/>
      <c r="C122" s="364"/>
    </row>
  </sheetData>
  <sheetProtection selectLockedCells="1" selectUnlockedCells="1"/>
  <mergeCells count="27">
    <mergeCell ref="Y12:Y20"/>
    <mergeCell ref="Z12:AG12"/>
    <mergeCell ref="B105:C105"/>
    <mergeCell ref="B106:C106"/>
    <mergeCell ref="B111:C111"/>
    <mergeCell ref="B28:C28"/>
    <mergeCell ref="B16:C16"/>
    <mergeCell ref="B20:C20"/>
    <mergeCell ref="B21:C21"/>
    <mergeCell ref="B27:C27"/>
    <mergeCell ref="B117:C117"/>
    <mergeCell ref="B34:C34"/>
    <mergeCell ref="B35:C35"/>
    <mergeCell ref="B36:C36"/>
    <mergeCell ref="B37:C37"/>
    <mergeCell ref="B41:C41"/>
    <mergeCell ref="V7:X7"/>
    <mergeCell ref="B11:C11"/>
    <mergeCell ref="B1:C1"/>
    <mergeCell ref="V1:AA1"/>
    <mergeCell ref="V2:X2"/>
    <mergeCell ref="V3:X3"/>
    <mergeCell ref="V4:X4"/>
    <mergeCell ref="V5:X5"/>
    <mergeCell ref="B6:C6"/>
    <mergeCell ref="Y2:Y10"/>
    <mergeCell ref="Z2:AG2"/>
  </mergeCells>
  <conditionalFormatting sqref="C8">
    <cfRule type="cellIs" dxfId="5" priority="5" operator="lessThan">
      <formula>0</formula>
    </cfRule>
    <cfRule type="cellIs" dxfId="4" priority="7" operator="greaterThan">
      <formula>0</formula>
    </cfRule>
  </conditionalFormatting>
  <conditionalFormatting sqref="C13">
    <cfRule type="cellIs" dxfId="3" priority="6" operator="lessThan">
      <formula>0</formula>
    </cfRule>
    <cfRule type="cellIs" dxfId="2" priority="8" operator="greaterThan">
      <formula>0</formula>
    </cfRule>
  </conditionalFormatting>
  <conditionalFormatting sqref="C42:C46">
    <cfRule type="cellIs" dxfId="1" priority="1" operator="equal">
      <formula>0</formula>
    </cfRule>
    <cfRule type="cellIs" dxfId="0" priority="2" operator="equal">
      <formula>1</formula>
    </cfRule>
  </conditionalFormatting>
  <conditionalFormatting sqref="AA4:AG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4:AG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E8E7-2F4B-420A-88AA-E9B3C2702978}">
  <sheetPr>
    <tabColor rgb="FF00B5AD"/>
  </sheetPr>
  <dimension ref="B1:U26"/>
  <sheetViews>
    <sheetView showGridLines="0" topLeftCell="F1" zoomScale="115" zoomScaleNormal="115" workbookViewId="0">
      <selection activeCell="P12" sqref="P12"/>
    </sheetView>
  </sheetViews>
  <sheetFormatPr defaultRowHeight="14.4"/>
  <cols>
    <col min="2" max="2" width="41.33203125" bestFit="1" customWidth="1"/>
    <col min="3" max="12" width="8.6640625" customWidth="1"/>
    <col min="13" max="13" width="3" customWidth="1"/>
    <col min="14" max="14" width="3.33203125" customWidth="1"/>
    <col min="15" max="15" width="44.44140625" bestFit="1" customWidth="1"/>
    <col min="18" max="18" width="16.109375" customWidth="1"/>
    <col min="19" max="19" width="16.33203125" customWidth="1"/>
  </cols>
  <sheetData>
    <row r="1" spans="2:21">
      <c r="B1" s="30" t="s">
        <v>427</v>
      </c>
      <c r="C1" s="351"/>
      <c r="D1" s="351"/>
      <c r="E1" s="351"/>
      <c r="F1" s="351"/>
      <c r="G1" s="351"/>
      <c r="H1" s="351"/>
      <c r="I1" s="351"/>
      <c r="J1" s="351"/>
      <c r="K1" s="351"/>
      <c r="L1" s="351"/>
      <c r="O1" s="550" t="s">
        <v>426</v>
      </c>
      <c r="P1" s="551"/>
      <c r="Q1" s="551"/>
      <c r="R1" s="551"/>
      <c r="S1" s="551"/>
      <c r="T1" s="551"/>
      <c r="U1" s="552"/>
    </row>
    <row r="2" spans="2:21">
      <c r="B2" s="350"/>
      <c r="C2" s="37">
        <v>2023</v>
      </c>
      <c r="D2" s="37">
        <v>2024</v>
      </c>
      <c r="E2" s="37">
        <v>2025</v>
      </c>
      <c r="F2" s="37">
        <v>2026</v>
      </c>
      <c r="G2" s="37">
        <v>2027</v>
      </c>
      <c r="H2" s="37">
        <v>2028</v>
      </c>
      <c r="I2" s="37">
        <v>2029</v>
      </c>
      <c r="J2" s="37">
        <v>2030</v>
      </c>
      <c r="K2" s="37">
        <v>2031</v>
      </c>
      <c r="L2" s="37">
        <v>2032</v>
      </c>
      <c r="O2" s="349" t="s">
        <v>425</v>
      </c>
      <c r="P2" s="348" t="s">
        <v>424</v>
      </c>
      <c r="Q2" s="348" t="s">
        <v>423</v>
      </c>
      <c r="R2" s="348" t="s">
        <v>422</v>
      </c>
      <c r="S2" s="348" t="s">
        <v>421</v>
      </c>
      <c r="T2" s="553" t="s">
        <v>420</v>
      </c>
      <c r="U2" s="554"/>
    </row>
    <row r="3" spans="2:21">
      <c r="B3" s="11" t="s">
        <v>403</v>
      </c>
      <c r="C3" s="335">
        <v>4.1790000000000001E-2</v>
      </c>
      <c r="D3" s="335">
        <v>4.1790000000000001E-2</v>
      </c>
      <c r="E3" s="335">
        <v>4.1790000000000001E-2</v>
      </c>
      <c r="F3" s="335">
        <v>4.1790000000000001E-2</v>
      </c>
      <c r="G3" s="335">
        <v>4.1790000000000001E-2</v>
      </c>
      <c r="H3" s="335">
        <v>4.1790000000000001E-2</v>
      </c>
      <c r="I3" s="335">
        <v>4.1790000000000001E-2</v>
      </c>
      <c r="J3" s="335">
        <v>4.1790000000000001E-2</v>
      </c>
      <c r="K3" s="335">
        <v>4.1790000000000001E-2</v>
      </c>
      <c r="L3" s="335">
        <v>4.1790000000000001E-2</v>
      </c>
      <c r="O3" s="344" t="s">
        <v>392</v>
      </c>
      <c r="P3" s="343" t="s">
        <v>419</v>
      </c>
      <c r="Q3" s="342">
        <v>2.8199999999999999E-2</v>
      </c>
      <c r="R3" s="341">
        <f>U4+Q3</f>
        <v>5.9800000000000006E-2</v>
      </c>
      <c r="S3" s="17">
        <f>'[2]Debt and Acquisition Schedule'!E5</f>
        <v>64.296000000000006</v>
      </c>
      <c r="T3" s="296" t="s">
        <v>411</v>
      </c>
      <c r="U3" s="347">
        <v>0.13150000000000001</v>
      </c>
    </row>
    <row r="4" spans="2:21">
      <c r="O4" s="344" t="s">
        <v>390</v>
      </c>
      <c r="P4" s="343" t="s">
        <v>411</v>
      </c>
      <c r="Q4" s="342">
        <v>6.1699999999999998E-2</v>
      </c>
      <c r="R4" s="341">
        <f>$U$3+Q4</f>
        <v>0.19320000000000001</v>
      </c>
      <c r="S4" s="17">
        <f>'[2]Debt and Acquisition Schedule'!E6</f>
        <v>710.52300000000002</v>
      </c>
      <c r="T4" s="296" t="s">
        <v>419</v>
      </c>
      <c r="U4" s="347">
        <v>3.1600000000000003E-2</v>
      </c>
    </row>
    <row r="5" spans="2:21">
      <c r="B5" t="s">
        <v>418</v>
      </c>
      <c r="C5" s="81">
        <f>Beta!J21</f>
        <v>0.65393218053439339</v>
      </c>
      <c r="D5" s="81">
        <f>C5</f>
        <v>0.65393218053439339</v>
      </c>
      <c r="E5" s="81">
        <f t="shared" ref="E5:L5" si="0">D5</f>
        <v>0.65393218053439339</v>
      </c>
      <c r="F5" s="81">
        <f t="shared" si="0"/>
        <v>0.65393218053439339</v>
      </c>
      <c r="G5" s="81">
        <f t="shared" si="0"/>
        <v>0.65393218053439339</v>
      </c>
      <c r="H5" s="81">
        <f t="shared" si="0"/>
        <v>0.65393218053439339</v>
      </c>
      <c r="I5" s="81">
        <f t="shared" si="0"/>
        <v>0.65393218053439339</v>
      </c>
      <c r="J5" s="81">
        <f t="shared" si="0"/>
        <v>0.65393218053439339</v>
      </c>
      <c r="K5" s="81">
        <f t="shared" si="0"/>
        <v>0.65393218053439339</v>
      </c>
      <c r="L5" s="81">
        <f t="shared" si="0"/>
        <v>0.65393218053439339</v>
      </c>
      <c r="O5" s="344" t="s">
        <v>388</v>
      </c>
      <c r="P5" s="343" t="s">
        <v>411</v>
      </c>
      <c r="Q5" s="342">
        <v>1.2999999999999999E-2</v>
      </c>
      <c r="R5" s="341">
        <f t="shared" ref="R5:R6" si="1">$U$3+Q5</f>
        <v>0.14450000000000002</v>
      </c>
      <c r="S5" s="17">
        <f>'[2]Debt and Acquisition Schedule'!E7</f>
        <v>499.11</v>
      </c>
      <c r="T5" s="296" t="s">
        <v>414</v>
      </c>
      <c r="U5" s="347">
        <v>7.0000000000000007E-2</v>
      </c>
    </row>
    <row r="6" spans="2:21">
      <c r="B6" s="29" t="s">
        <v>417</v>
      </c>
      <c r="C6" s="187">
        <v>0.34</v>
      </c>
      <c r="D6" s="187">
        <v>0.34</v>
      </c>
      <c r="E6" s="187">
        <v>0.34</v>
      </c>
      <c r="F6" s="187">
        <v>0.34</v>
      </c>
      <c r="G6" s="187">
        <v>0.34</v>
      </c>
      <c r="H6" s="187">
        <v>0.34</v>
      </c>
      <c r="I6" s="187">
        <v>0.34</v>
      </c>
      <c r="J6" s="187">
        <v>0.34</v>
      </c>
      <c r="K6" s="187">
        <v>0.34</v>
      </c>
      <c r="L6" s="187">
        <v>0.34</v>
      </c>
      <c r="O6" s="344" t="s">
        <v>386</v>
      </c>
      <c r="P6" s="343" t="s">
        <v>411</v>
      </c>
      <c r="Q6" s="342">
        <v>1.7299999999999999E-2</v>
      </c>
      <c r="R6" s="341">
        <f t="shared" si="1"/>
        <v>0.14880000000000002</v>
      </c>
      <c r="S6" s="17">
        <f>'[2]Debt and Acquisition Schedule'!E8</f>
        <v>366.77100000000002</v>
      </c>
      <c r="T6" s="296" t="s">
        <v>416</v>
      </c>
      <c r="U6" s="346">
        <v>0.34</v>
      </c>
    </row>
    <row r="7" spans="2:21">
      <c r="B7" s="29" t="s">
        <v>415</v>
      </c>
      <c r="C7" s="81">
        <f>(BS!U55/1000)/Beta!$H$18</f>
        <v>0.63254389342488515</v>
      </c>
      <c r="D7" s="81">
        <f>(BS!V55/1000)/Beta!$H$18</f>
        <v>0.63891849956809277</v>
      </c>
      <c r="E7" s="81">
        <f>(BS!W55/1000)/Beta!$H$18</f>
        <v>0.6440181844826588</v>
      </c>
      <c r="F7" s="81">
        <f>(BS!X55/1000)/Beta!$H$18</f>
        <v>0.64614305319706133</v>
      </c>
      <c r="G7" s="81">
        <f>(BS!Y55/1000)/Beta!$H$18</f>
        <v>0.64826792191146376</v>
      </c>
      <c r="H7" s="81">
        <f>(BS!Z55/1000)/Beta!$H$18</f>
        <v>0.65039279062586641</v>
      </c>
      <c r="I7" s="81">
        <f>(BS!AA55/1000)/Beta!$H$18</f>
        <v>0.65251765934026884</v>
      </c>
      <c r="J7" s="81">
        <f>(BS!AB55/1000)/Beta!$H$18</f>
        <v>0.65464252805467138</v>
      </c>
      <c r="K7" s="81">
        <f>(BS!AC55/1000)/Beta!$H$18</f>
        <v>0.65676739676907381</v>
      </c>
      <c r="L7" s="81">
        <f>(BS!AD55/1000)/Beta!$H$18</f>
        <v>0.65889226548347635</v>
      </c>
      <c r="O7" s="344" t="s">
        <v>384</v>
      </c>
      <c r="P7" s="343" t="s">
        <v>414</v>
      </c>
      <c r="Q7" s="342">
        <v>5.0000000000000001E-3</v>
      </c>
      <c r="R7" s="341">
        <f>U5+Q7</f>
        <v>7.5000000000000011E-2</v>
      </c>
      <c r="S7" s="17">
        <f>'[2]Debt and Acquisition Schedule'!E9</f>
        <v>55.253</v>
      </c>
      <c r="T7" s="1"/>
      <c r="U7" s="339"/>
    </row>
    <row r="8" spans="2:21">
      <c r="B8" s="11" t="s">
        <v>413</v>
      </c>
      <c r="C8" s="345">
        <f>C5*(1+(1-C6)*C7)</f>
        <v>0.92693511349168645</v>
      </c>
      <c r="D8" s="345">
        <f t="shared" ref="D8:L8" si="2">D5*(1+(1-D6)*D7)</f>
        <v>0.92968636315456843</v>
      </c>
      <c r="E8" s="345">
        <f t="shared" si="2"/>
        <v>0.93188736288487384</v>
      </c>
      <c r="F8" s="345">
        <f t="shared" si="2"/>
        <v>0.93280444610583457</v>
      </c>
      <c r="G8" s="345">
        <f t="shared" si="2"/>
        <v>0.9337215293267952</v>
      </c>
      <c r="H8" s="345">
        <f t="shared" si="2"/>
        <v>0.93463861254775593</v>
      </c>
      <c r="I8" s="345">
        <f t="shared" si="2"/>
        <v>0.93555569576871656</v>
      </c>
      <c r="J8" s="345">
        <f t="shared" si="2"/>
        <v>0.93647277898967707</v>
      </c>
      <c r="K8" s="345">
        <f t="shared" si="2"/>
        <v>0.93738986221063769</v>
      </c>
      <c r="L8" s="345">
        <f t="shared" si="2"/>
        <v>0.93830694543159832</v>
      </c>
      <c r="O8" s="344" t="s">
        <v>412</v>
      </c>
      <c r="P8" s="343" t="s">
        <v>411</v>
      </c>
      <c r="Q8" s="342">
        <v>2.4E-2</v>
      </c>
      <c r="R8" s="341">
        <f>U3+Q8</f>
        <v>0.1555</v>
      </c>
      <c r="S8" s="17">
        <f>'[2]Debt and Acquisition Schedule'!E10</f>
        <v>1791.68</v>
      </c>
      <c r="T8" s="340"/>
      <c r="U8" s="339"/>
    </row>
    <row r="9" spans="2:21">
      <c r="B9" s="11" t="s">
        <v>401</v>
      </c>
      <c r="C9" s="335">
        <v>0.05</v>
      </c>
      <c r="D9" s="335">
        <v>0.05</v>
      </c>
      <c r="E9" s="335">
        <v>0.05</v>
      </c>
      <c r="F9" s="335">
        <v>0.05</v>
      </c>
      <c r="G9" s="335">
        <v>0.05</v>
      </c>
      <c r="H9" s="335">
        <v>0.05</v>
      </c>
      <c r="I9" s="335">
        <v>0.05</v>
      </c>
      <c r="J9" s="335">
        <v>0.05</v>
      </c>
      <c r="K9" s="335">
        <v>0.05</v>
      </c>
      <c r="L9" s="335">
        <v>0.05</v>
      </c>
      <c r="O9" s="338" t="s">
        <v>410</v>
      </c>
      <c r="P9" s="337">
        <f>(R3*S3+R4*S4+R5*S5+R6*S6+R7*S7+R8*S8)/SUM(S3:S8)</f>
        <v>0.15786210280726215</v>
      </c>
      <c r="Q9" s="47"/>
      <c r="R9" s="47"/>
      <c r="S9" s="47"/>
      <c r="T9" s="47"/>
      <c r="U9" s="336"/>
    </row>
    <row r="10" spans="2:21">
      <c r="O10" s="334"/>
      <c r="P10" s="333"/>
      <c r="Q10" s="332"/>
      <c r="R10" s="332"/>
      <c r="S10" s="332"/>
      <c r="T10" s="332"/>
      <c r="U10" s="331"/>
    </row>
    <row r="11" spans="2:21">
      <c r="B11" s="11" t="s">
        <v>409</v>
      </c>
      <c r="C11" s="335">
        <v>4.5699999999999998E-2</v>
      </c>
      <c r="D11" s="335">
        <v>4.5699999999999998E-2</v>
      </c>
      <c r="E11" s="335">
        <v>4.5699999999999998E-2</v>
      </c>
      <c r="F11" s="335">
        <v>4.5699999999999998E-2</v>
      </c>
      <c r="G11" s="335">
        <v>4.5699999999999998E-2</v>
      </c>
      <c r="H11" s="335">
        <v>4.5699999999999998E-2</v>
      </c>
      <c r="I11" s="335">
        <v>4.5699999999999998E-2</v>
      </c>
      <c r="J11" s="335">
        <v>4.5699999999999998E-2</v>
      </c>
      <c r="K11" s="335">
        <v>4.5699999999999998E-2</v>
      </c>
      <c r="L11" s="335">
        <v>4.5699999999999998E-2</v>
      </c>
      <c r="O11" s="334"/>
      <c r="P11" s="333"/>
      <c r="Q11" s="332"/>
      <c r="R11" s="332"/>
      <c r="S11" s="332"/>
      <c r="T11" s="332"/>
      <c r="U11" s="331"/>
    </row>
    <row r="12" spans="2:21" ht="15" thickBot="1">
      <c r="B12" s="11" t="s">
        <v>408</v>
      </c>
      <c r="C12" s="325">
        <v>0.01</v>
      </c>
      <c r="D12" s="325">
        <v>7.4999999999999997E-3</v>
      </c>
      <c r="E12" s="325">
        <v>5.0000000000000001E-3</v>
      </c>
      <c r="F12" s="325">
        <v>2.5000000000000001E-3</v>
      </c>
      <c r="G12" s="325">
        <v>0</v>
      </c>
      <c r="H12" s="325">
        <v>0</v>
      </c>
      <c r="I12" s="325">
        <v>0</v>
      </c>
      <c r="J12" s="325">
        <v>0</v>
      </c>
      <c r="K12" s="325">
        <v>0</v>
      </c>
      <c r="L12" s="325">
        <v>0</v>
      </c>
      <c r="O12" s="330" t="s">
        <v>407</v>
      </c>
      <c r="P12" s="329">
        <f>P9*(1-U6)</f>
        <v>0.104188987852793</v>
      </c>
      <c r="Q12" s="328"/>
      <c r="R12" s="328"/>
      <c r="S12" s="328"/>
      <c r="T12" s="328"/>
      <c r="U12" s="327"/>
    </row>
    <row r="13" spans="2:21">
      <c r="B13" s="326" t="s">
        <v>406</v>
      </c>
      <c r="C13" s="325">
        <v>2.486469162769378E-2</v>
      </c>
      <c r="D13" s="325">
        <v>1.9552237011236651E-2</v>
      </c>
      <c r="E13" s="325">
        <v>1.4146260779932307E-2</v>
      </c>
      <c r="F13" s="325">
        <v>1.4146260779932751E-2</v>
      </c>
      <c r="G13" s="324">
        <f t="shared" ref="G13:L13" si="3">F13</f>
        <v>1.4146260779932751E-2</v>
      </c>
      <c r="H13" s="324">
        <f t="shared" si="3"/>
        <v>1.4146260779932751E-2</v>
      </c>
      <c r="I13" s="324">
        <f t="shared" si="3"/>
        <v>1.4146260779932751E-2</v>
      </c>
      <c r="J13" s="324">
        <f t="shared" si="3"/>
        <v>1.4146260779932751E-2</v>
      </c>
      <c r="K13" s="324">
        <f t="shared" si="3"/>
        <v>1.4146260779932751E-2</v>
      </c>
      <c r="L13" s="324">
        <f t="shared" si="3"/>
        <v>1.4146260779932751E-2</v>
      </c>
    </row>
    <row r="15" spans="2:21">
      <c r="B15" s="323" t="s">
        <v>405</v>
      </c>
      <c r="C15" s="322">
        <f>C3+C9*C8+C11+C13+C12</f>
        <v>0.1687014473022781</v>
      </c>
      <c r="D15" s="322">
        <f t="shared" ref="D15:L15" si="4">D3+D9*D8+D11+D13+D12</f>
        <v>0.16102655516896508</v>
      </c>
      <c r="E15" s="322">
        <f t="shared" si="4"/>
        <v>0.15323062892417599</v>
      </c>
      <c r="F15" s="322">
        <f t="shared" si="4"/>
        <v>0.15077648308522448</v>
      </c>
      <c r="G15" s="322">
        <f t="shared" si="4"/>
        <v>0.1483223372462725</v>
      </c>
      <c r="H15" s="322">
        <f t="shared" si="4"/>
        <v>0.14836819140732055</v>
      </c>
      <c r="I15" s="322">
        <f t="shared" si="4"/>
        <v>0.14841404556836857</v>
      </c>
      <c r="J15" s="322">
        <f t="shared" si="4"/>
        <v>0.14845989972941659</v>
      </c>
      <c r="K15" s="322">
        <f t="shared" si="4"/>
        <v>0.14850575389046464</v>
      </c>
      <c r="L15" s="322">
        <f t="shared" si="4"/>
        <v>0.14855160805151266</v>
      </c>
    </row>
    <row r="16" spans="2:21">
      <c r="S16" s="13"/>
    </row>
    <row r="18" spans="2:12">
      <c r="B18" s="321" t="s">
        <v>404</v>
      </c>
      <c r="I18" s="124"/>
      <c r="J18" s="124"/>
      <c r="K18" s="124"/>
      <c r="L18" s="124"/>
    </row>
    <row r="19" spans="2:12">
      <c r="B19" t="s">
        <v>403</v>
      </c>
      <c r="C19" s="320" t="s">
        <v>402</v>
      </c>
      <c r="I19" s="319"/>
      <c r="J19" s="319"/>
      <c r="K19" s="319"/>
      <c r="L19" s="319"/>
    </row>
    <row r="20" spans="2:12">
      <c r="B20" t="s">
        <v>401</v>
      </c>
      <c r="C20" s="555" t="s">
        <v>400</v>
      </c>
      <c r="D20" s="555"/>
      <c r="E20" s="555"/>
      <c r="F20" s="555"/>
      <c r="G20" s="555"/>
      <c r="H20" s="555"/>
      <c r="I20" s="319"/>
      <c r="J20" s="319"/>
      <c r="K20" s="319"/>
      <c r="L20" s="319"/>
    </row>
    <row r="21" spans="2:12">
      <c r="B21" t="s">
        <v>399</v>
      </c>
      <c r="C21" s="555"/>
      <c r="D21" s="555"/>
      <c r="E21" s="555"/>
      <c r="F21" s="555"/>
      <c r="G21" s="555"/>
      <c r="H21" s="555"/>
    </row>
    <row r="23" spans="2:12">
      <c r="C23" s="318"/>
      <c r="D23" s="318"/>
      <c r="E23" s="318"/>
      <c r="F23" s="318"/>
      <c r="G23" s="318"/>
      <c r="H23" s="318"/>
      <c r="I23" s="318"/>
      <c r="J23" s="318"/>
      <c r="K23" s="318"/>
      <c r="L23" s="318"/>
    </row>
    <row r="24" spans="2:12">
      <c r="B24" s="29"/>
      <c r="C24" s="319"/>
      <c r="D24" s="319"/>
      <c r="E24" s="319"/>
      <c r="F24" s="319"/>
      <c r="G24" s="319"/>
      <c r="H24" s="319"/>
      <c r="I24" s="319"/>
      <c r="J24" s="319"/>
      <c r="K24" s="319"/>
      <c r="L24" s="319"/>
    </row>
    <row r="25" spans="2:12">
      <c r="B25" s="29"/>
      <c r="C25" s="318"/>
      <c r="D25" s="318"/>
      <c r="E25" s="318"/>
      <c r="F25" s="318"/>
      <c r="G25" s="318"/>
      <c r="H25" s="318"/>
      <c r="I25" s="318"/>
      <c r="J25" s="318"/>
      <c r="K25" s="318"/>
      <c r="L25" s="318"/>
    </row>
    <row r="26" spans="2:12">
      <c r="C26" s="318"/>
      <c r="D26" s="318"/>
      <c r="E26" s="318"/>
      <c r="F26" s="318"/>
      <c r="G26" s="318"/>
      <c r="H26" s="318"/>
      <c r="I26" s="318"/>
      <c r="J26" s="318"/>
      <c r="K26" s="318"/>
      <c r="L26" s="318"/>
    </row>
  </sheetData>
  <mergeCells count="3">
    <mergeCell ref="O1:U1"/>
    <mergeCell ref="T2:U2"/>
    <mergeCell ref="C20:H21"/>
  </mergeCells>
  <hyperlinks>
    <hyperlink ref="C19" r:id="rId1" xr:uid="{CE2796F0-FC73-406F-B9D4-90D8A2298E23}"/>
    <hyperlink ref="C20" r:id="rId2" xr:uid="{0AEC72DE-E8D2-4557-900F-2BA3B045C295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1DBA-E5C1-4D3A-B6A6-5D2013163900}">
  <sheetPr>
    <tabColor rgb="FF008A83"/>
  </sheetPr>
  <dimension ref="A1:AH9"/>
  <sheetViews>
    <sheetView showGridLines="0" workbookViewId="0">
      <selection activeCell="Z6" sqref="Z6"/>
    </sheetView>
  </sheetViews>
  <sheetFormatPr defaultRowHeight="14.4"/>
  <cols>
    <col min="1" max="1" width="6.109375" customWidth="1"/>
    <col min="2" max="2" width="53.6640625" customWidth="1"/>
    <col min="3" max="3" width="18.33203125" customWidth="1"/>
  </cols>
  <sheetData>
    <row r="1" spans="1:34">
      <c r="D1" t="s">
        <v>13</v>
      </c>
    </row>
    <row r="2" spans="1:34">
      <c r="D2" s="9" t="s">
        <v>14</v>
      </c>
    </row>
    <row r="3" spans="1:34">
      <c r="D3" s="10" t="s">
        <v>69</v>
      </c>
      <c r="Y3" s="13"/>
    </row>
    <row r="4" spans="1:34">
      <c r="A4" s="7"/>
      <c r="B4" s="30" t="s">
        <v>12</v>
      </c>
      <c r="C4" s="7"/>
      <c r="D4" s="6">
        <v>2018</v>
      </c>
      <c r="E4" s="6">
        <v>2019</v>
      </c>
      <c r="F4" s="8" t="s">
        <v>0</v>
      </c>
      <c r="G4" s="8" t="s">
        <v>1</v>
      </c>
      <c r="H4" s="8" t="s">
        <v>2</v>
      </c>
      <c r="I4" s="8" t="s">
        <v>3</v>
      </c>
      <c r="J4" s="6">
        <v>2020</v>
      </c>
      <c r="K4" s="8" t="s">
        <v>4</v>
      </c>
      <c r="L4" s="8" t="s">
        <v>5</v>
      </c>
      <c r="M4" s="8" t="s">
        <v>6</v>
      </c>
      <c r="N4" s="8" t="s">
        <v>7</v>
      </c>
      <c r="O4" s="6">
        <v>2021</v>
      </c>
      <c r="P4" s="8" t="s">
        <v>8</v>
      </c>
      <c r="Q4" s="8" t="s">
        <v>9</v>
      </c>
      <c r="R4" s="8" t="s">
        <v>10</v>
      </c>
      <c r="S4" s="8" t="s">
        <v>11</v>
      </c>
      <c r="T4" s="6">
        <v>2022</v>
      </c>
      <c r="U4" s="64" t="s">
        <v>100</v>
      </c>
      <c r="V4" s="63" t="s">
        <v>101</v>
      </c>
      <c r="W4" s="63" t="s">
        <v>102</v>
      </c>
      <c r="X4" s="63" t="s">
        <v>103</v>
      </c>
      <c r="Y4" s="37">
        <v>2023</v>
      </c>
      <c r="Z4" s="37">
        <v>2024</v>
      </c>
      <c r="AA4" s="37">
        <v>2025</v>
      </c>
      <c r="AB4" s="37">
        <v>2026</v>
      </c>
      <c r="AC4" s="37">
        <v>2027</v>
      </c>
      <c r="AD4" s="37">
        <v>2028</v>
      </c>
      <c r="AE4" s="37">
        <v>2029</v>
      </c>
      <c r="AF4" s="37">
        <v>2030</v>
      </c>
      <c r="AG4" s="37">
        <v>2031</v>
      </c>
      <c r="AH4" s="37">
        <v>2032</v>
      </c>
    </row>
    <row r="5" spans="1:34" s="11" customFormat="1" ht="15" thickBot="1">
      <c r="B5" s="31" t="s">
        <v>35</v>
      </c>
      <c r="C5" s="31" t="s">
        <v>16</v>
      </c>
      <c r="D5" s="36">
        <f>[2]IS!D32</f>
        <v>16.257000000000062</v>
      </c>
      <c r="E5" s="36">
        <f>[2]IS!E32</f>
        <v>-45.007999999999996</v>
      </c>
      <c r="F5" s="36">
        <f>[2]IS!F32</f>
        <v>-20.246399880000038</v>
      </c>
      <c r="G5" s="36">
        <f>[2]IS!G32</f>
        <v>-3.6789461917437993</v>
      </c>
      <c r="H5" s="36">
        <f>[2]IS!H32</f>
        <v>22.336645202288675</v>
      </c>
      <c r="I5" s="36">
        <f>[2]IS!I32</f>
        <v>-119.6666002239286</v>
      </c>
      <c r="J5" s="36">
        <f>[2]IS!J32</f>
        <v>-121.25530109338366</v>
      </c>
      <c r="K5" s="36">
        <f>[2]IS!K32</f>
        <v>6.5434146300000435</v>
      </c>
      <c r="L5" s="36">
        <f>[2]IS!L32</f>
        <v>-202.58888557000003</v>
      </c>
      <c r="M5" s="36">
        <f>[2]IS!M32</f>
        <v>150.77258114786704</v>
      </c>
      <c r="N5" s="36">
        <f>[2]IS!N32</f>
        <v>22.844331858290616</v>
      </c>
      <c r="O5" s="36">
        <f>[2]IS!O32</f>
        <v>-22.428557933842526</v>
      </c>
      <c r="P5" s="36">
        <f>[2]IS!P32</f>
        <v>-15.58957981053382</v>
      </c>
      <c r="Q5" s="36">
        <f>[2]IS!Q32</f>
        <v>-24.589336091478025</v>
      </c>
      <c r="R5" s="36">
        <f>[2]IS!R32</f>
        <v>56.991605062011992</v>
      </c>
      <c r="S5" s="36">
        <f>[2]IS!S32</f>
        <v>96.912000000000063</v>
      </c>
      <c r="T5" s="36">
        <f>[2]IS!T32</f>
        <v>113.72468916000055</v>
      </c>
      <c r="U5" s="36">
        <f>[2]IS!U32</f>
        <v>41.22999999999999</v>
      </c>
      <c r="V5" s="36">
        <f ca="1">IS!V32</f>
        <v>2.110584493610955</v>
      </c>
      <c r="W5" s="36">
        <f ca="1">IS!W32</f>
        <v>59.969218899945105</v>
      </c>
      <c r="X5" s="36">
        <f ca="1">IS!X32</f>
        <v>40.035926262022258</v>
      </c>
      <c r="Y5" s="36">
        <f ca="1">IS!Y32</f>
        <v>143.33772965557833</v>
      </c>
      <c r="Z5" s="36">
        <f ca="1">IS!Z32</f>
        <v>352.74576814426518</v>
      </c>
      <c r="AA5" s="36">
        <f ca="1">IS!AA32</f>
        <v>515.27876400660705</v>
      </c>
      <c r="AB5" s="36">
        <f ca="1">IS!AB32</f>
        <v>645.48123926427922</v>
      </c>
      <c r="AC5" s="36">
        <f ca="1">IS!AC32</f>
        <v>791.52518781460867</v>
      </c>
      <c r="AD5" s="36">
        <f ca="1">IS!AD32</f>
        <v>968.47886419055317</v>
      </c>
      <c r="AE5" s="36">
        <f ca="1">IS!AE32</f>
        <v>1169.8548386201596</v>
      </c>
      <c r="AF5" s="36">
        <f ca="1">IS!AF32</f>
        <v>1398.4080742629158</v>
      </c>
      <c r="AG5" s="36">
        <f ca="1">IS!AG32</f>
        <v>1657.222041218502</v>
      </c>
      <c r="AH5" s="36">
        <f ca="1">IS!AH32</f>
        <v>1953.5674135599197</v>
      </c>
    </row>
    <row r="6" spans="1:34">
      <c r="B6" s="29" t="s">
        <v>398</v>
      </c>
      <c r="D6" s="23"/>
      <c r="E6" s="23"/>
      <c r="F6" s="54">
        <v>1.355</v>
      </c>
      <c r="G6" s="54">
        <v>5.6760000000000002</v>
      </c>
      <c r="H6" s="54">
        <v>8.2850000000000001</v>
      </c>
      <c r="I6" s="54">
        <v>21.029</v>
      </c>
      <c r="J6" s="54">
        <f>SUM(F6:I6)</f>
        <v>36.344999999999999</v>
      </c>
      <c r="K6" s="54">
        <v>9.0739999999999998</v>
      </c>
      <c r="L6" s="54">
        <v>2.36</v>
      </c>
      <c r="M6" s="54">
        <v>5.6109999999999998</v>
      </c>
      <c r="N6" s="54">
        <v>7.4379999999999997</v>
      </c>
      <c r="O6" s="54">
        <f>SUM(K6:N6)</f>
        <v>24.482999999999997</v>
      </c>
      <c r="P6" s="54">
        <v>7.3680000000000003</v>
      </c>
      <c r="Q6" s="54">
        <v>8.1010000000000009</v>
      </c>
      <c r="R6" s="54">
        <v>26.212</v>
      </c>
      <c r="S6" s="54">
        <v>25.8</v>
      </c>
      <c r="T6" s="54">
        <f>SUM(P6:S6)</f>
        <v>67.480999999999995</v>
      </c>
      <c r="U6" s="54">
        <v>19.038</v>
      </c>
      <c r="V6" s="17">
        <f ca="1">V5*V7</f>
        <v>0.97456482147381451</v>
      </c>
      <c r="W6" s="17">
        <f t="shared" ref="W6:X6" ca="1" si="0">W5*W7</f>
        <v>27.690855916011525</v>
      </c>
      <c r="X6" s="17">
        <f t="shared" ca="1" si="0"/>
        <v>10.658400379314983</v>
      </c>
      <c r="Y6" s="17">
        <f ca="1">SUM(U6:X6)</f>
        <v>58.361821116800328</v>
      </c>
      <c r="Z6" s="17">
        <f ca="1">Z5*Z7</f>
        <v>108.35045108026318</v>
      </c>
      <c r="AA6" s="17">
        <f t="shared" ref="AA6:AH6" ca="1" si="1">AA5*AA7</f>
        <v>106.7466985316255</v>
      </c>
      <c r="AB6" s="17">
        <f t="shared" ca="1" si="1"/>
        <v>69.171710983517144</v>
      </c>
      <c r="AC6" s="17">
        <f t="shared" ca="1" si="1"/>
        <v>5.6697009783135623</v>
      </c>
      <c r="AD6" s="17">
        <f t="shared" ca="1" si="1"/>
        <v>0</v>
      </c>
      <c r="AE6" s="17">
        <f t="shared" ca="1" si="1"/>
        <v>0</v>
      </c>
      <c r="AF6" s="17">
        <f t="shared" ca="1" si="1"/>
        <v>0</v>
      </c>
      <c r="AG6" s="17">
        <f t="shared" ca="1" si="1"/>
        <v>0</v>
      </c>
      <c r="AH6" s="17">
        <f t="shared" ca="1" si="1"/>
        <v>0</v>
      </c>
    </row>
    <row r="7" spans="1:34" s="78" customFormat="1">
      <c r="B7" s="164" t="s">
        <v>397</v>
      </c>
      <c r="F7" s="100">
        <f t="shared" ref="F7:U7" si="2">F6/F5</f>
        <v>-6.6925478506354455E-2</v>
      </c>
      <c r="G7" s="100">
        <f t="shared" si="2"/>
        <v>-1.5428331114866372</v>
      </c>
      <c r="H7" s="100">
        <f t="shared" si="2"/>
        <v>0.37091514526770097</v>
      </c>
      <c r="I7" s="100">
        <f t="shared" si="2"/>
        <v>-0.17572990258475674</v>
      </c>
      <c r="J7" s="100">
        <f t="shared" si="2"/>
        <v>-0.29973947260259765</v>
      </c>
      <c r="K7" s="100">
        <f t="shared" si="2"/>
        <v>1.3867377375717271</v>
      </c>
      <c r="L7" s="100">
        <f t="shared" si="2"/>
        <v>-1.1649207671782937E-2</v>
      </c>
      <c r="M7" s="100">
        <f t="shared" si="2"/>
        <v>3.7214989338791839E-2</v>
      </c>
      <c r="N7" s="100">
        <f t="shared" si="2"/>
        <v>0.32559498987056679</v>
      </c>
      <c r="O7" s="100">
        <f t="shared" si="2"/>
        <v>-1.0915993829035935</v>
      </c>
      <c r="P7" s="100">
        <f t="shared" si="2"/>
        <v>-0.47262338623273675</v>
      </c>
      <c r="Q7" s="100">
        <f t="shared" si="2"/>
        <v>-0.32945175786212383</v>
      </c>
      <c r="R7" s="100">
        <f t="shared" si="2"/>
        <v>0.45992738705075925</v>
      </c>
      <c r="S7" s="100">
        <f t="shared" si="2"/>
        <v>0.26622090143635446</v>
      </c>
      <c r="T7" s="100">
        <f t="shared" si="2"/>
        <v>0.59337159326116262</v>
      </c>
      <c r="U7" s="100">
        <f t="shared" si="2"/>
        <v>0.46175115207373285</v>
      </c>
      <c r="V7" s="187">
        <f>U7</f>
        <v>0.46175115207373285</v>
      </c>
      <c r="W7" s="187">
        <f t="shared" ref="W7" si="3">V7</f>
        <v>0.46175115207373285</v>
      </c>
      <c r="X7" s="187">
        <f>S7</f>
        <v>0.26622090143635446</v>
      </c>
      <c r="Y7" s="430">
        <f ca="1">Y6/Y5</f>
        <v>0.40716300765357516</v>
      </c>
      <c r="Z7" s="317">
        <f ca="1">Y7-10%</f>
        <v>0.30716300765357518</v>
      </c>
      <c r="AA7" s="317">
        <f t="shared" ref="AA7:AC7" ca="1" si="4">Z7-10%</f>
        <v>0.20716300765357518</v>
      </c>
      <c r="AB7" s="317">
        <f t="shared" ca="1" si="4"/>
        <v>0.10716300765357517</v>
      </c>
      <c r="AC7" s="317">
        <f t="shared" ca="1" si="4"/>
        <v>7.1630076535751652E-3</v>
      </c>
      <c r="AD7" s="317">
        <f>0</f>
        <v>0</v>
      </c>
      <c r="AE7" s="317">
        <f>0</f>
        <v>0</v>
      </c>
      <c r="AF7" s="317">
        <f>0</f>
        <v>0</v>
      </c>
      <c r="AG7" s="317">
        <f>0</f>
        <v>0</v>
      </c>
      <c r="AH7" s="317">
        <f>0</f>
        <v>0</v>
      </c>
    </row>
    <row r="9" spans="1:34">
      <c r="F9" s="1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8844-60E8-4ED9-B02E-65D0B340D678}">
  <dimension ref="A1:AH45"/>
  <sheetViews>
    <sheetView showGridLines="0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V4" sqref="V4"/>
    </sheetView>
  </sheetViews>
  <sheetFormatPr defaultRowHeight="14.4" outlineLevelRow="1" outlineLevelCol="1"/>
  <cols>
    <col min="1" max="1" width="2.88671875" customWidth="1"/>
    <col min="2" max="2" width="44.109375" customWidth="1"/>
    <col min="3" max="5" width="9.109375" customWidth="1"/>
    <col min="6" max="9" width="9.109375" customWidth="1" outlineLevel="1"/>
    <col min="11" max="11" width="9.88671875" customWidth="1" outlineLevel="1"/>
    <col min="12" max="14" width="9.109375" customWidth="1" outlineLevel="1"/>
    <col min="15" max="15" width="10.44140625" bestFit="1" customWidth="1"/>
    <col min="16" max="19" width="9.109375" customWidth="1" outlineLevel="1"/>
    <col min="20" max="20" width="10.6640625" bestFit="1" customWidth="1"/>
    <col min="21" max="24" width="9.109375" customWidth="1" outlineLevel="1"/>
    <col min="25" max="25" width="13.88671875" bestFit="1" customWidth="1"/>
  </cols>
  <sheetData>
    <row r="1" spans="1:34">
      <c r="D1" t="s">
        <v>13</v>
      </c>
    </row>
    <row r="2" spans="1:34">
      <c r="D2" s="9" t="s">
        <v>14</v>
      </c>
    </row>
    <row r="3" spans="1:34">
      <c r="D3" s="10" t="s">
        <v>69</v>
      </c>
    </row>
    <row r="4" spans="1:34">
      <c r="A4" s="7"/>
      <c r="B4" s="30" t="s">
        <v>12</v>
      </c>
      <c r="C4" s="7"/>
      <c r="D4" s="6">
        <v>2018</v>
      </c>
      <c r="E4" s="6">
        <v>2019</v>
      </c>
      <c r="F4" s="8" t="s">
        <v>0</v>
      </c>
      <c r="G4" s="8" t="s">
        <v>1</v>
      </c>
      <c r="H4" s="8" t="s">
        <v>2</v>
      </c>
      <c r="I4" s="8" t="s">
        <v>3</v>
      </c>
      <c r="J4" s="6">
        <v>2020</v>
      </c>
      <c r="K4" s="8" t="s">
        <v>4</v>
      </c>
      <c r="L4" s="8" t="s">
        <v>5</v>
      </c>
      <c r="M4" s="8" t="s">
        <v>6</v>
      </c>
      <c r="N4" s="8" t="s">
        <v>7</v>
      </c>
      <c r="O4" s="6">
        <v>2021</v>
      </c>
      <c r="P4" s="8" t="s">
        <v>8</v>
      </c>
      <c r="Q4" s="8" t="s">
        <v>9</v>
      </c>
      <c r="R4" s="8" t="s">
        <v>10</v>
      </c>
      <c r="S4" s="8" t="s">
        <v>11</v>
      </c>
      <c r="T4" s="6">
        <v>2022</v>
      </c>
      <c r="U4" s="64" t="s">
        <v>100</v>
      </c>
      <c r="V4" s="63" t="s">
        <v>101</v>
      </c>
      <c r="W4" s="63" t="s">
        <v>102</v>
      </c>
      <c r="X4" s="63" t="s">
        <v>103</v>
      </c>
      <c r="Y4" s="434">
        <v>2023</v>
      </c>
      <c r="Z4" s="37">
        <v>2024</v>
      </c>
      <c r="AA4" s="37">
        <v>2025</v>
      </c>
      <c r="AB4" s="37">
        <v>2026</v>
      </c>
      <c r="AC4" s="37">
        <v>2027</v>
      </c>
      <c r="AD4" s="37">
        <v>2028</v>
      </c>
      <c r="AE4" s="37">
        <v>2029</v>
      </c>
      <c r="AF4" s="37">
        <v>2030</v>
      </c>
      <c r="AG4" s="37">
        <v>2031</v>
      </c>
      <c r="AH4" s="37">
        <v>2032</v>
      </c>
    </row>
    <row r="5" spans="1:34" s="11" customFormat="1">
      <c r="B5" s="11" t="s">
        <v>15</v>
      </c>
      <c r="C5" s="11" t="s">
        <v>16</v>
      </c>
      <c r="D5" s="18"/>
      <c r="E5" s="18"/>
      <c r="F5" s="14">
        <v>507.32499999999999</v>
      </c>
      <c r="G5" s="14">
        <v>523.88199999999995</v>
      </c>
      <c r="H5" s="14">
        <v>570</v>
      </c>
      <c r="I5" s="14">
        <v>619.60461255000018</v>
      </c>
      <c r="J5" s="18">
        <v>2220.8116125500001</v>
      </c>
      <c r="K5" s="14">
        <v>657.30799999999999</v>
      </c>
      <c r="L5" s="14">
        <v>702.16700000000003</v>
      </c>
      <c r="M5" s="14">
        <v>744.12800000000004</v>
      </c>
      <c r="N5" s="14">
        <v>819.93</v>
      </c>
      <c r="O5" s="18">
        <f>SUM(K5:N5)</f>
        <v>2923.5329999999999</v>
      </c>
      <c r="P5" s="14">
        <v>879.38599999999997</v>
      </c>
      <c r="Q5" s="14">
        <v>983.58199999999999</v>
      </c>
      <c r="R5" s="14">
        <v>1253.17</v>
      </c>
      <c r="S5" s="14">
        <v>1324.105</v>
      </c>
      <c r="T5" s="18">
        <f>SUM(P5:S5)</f>
        <v>4440.2430000000004</v>
      </c>
      <c r="U5" s="14">
        <v>1395.6</v>
      </c>
      <c r="V5" s="16">
        <f>'Build-Up'!V6</f>
        <v>1446.2566386841779</v>
      </c>
      <c r="W5" s="16">
        <f>'Build-Up'!W6</f>
        <v>1538.1334809949956</v>
      </c>
      <c r="X5" s="16">
        <f>'Build-Up'!X6</f>
        <v>1633.3645505046063</v>
      </c>
      <c r="Y5" s="20">
        <f>'Build-Up'!Y6</f>
        <v>6013.3546701837786</v>
      </c>
      <c r="Z5" s="16">
        <f>'Build-Up'!Z6</f>
        <v>7008.2112116179715</v>
      </c>
      <c r="AA5" s="16">
        <f>'Build-Up'!AA6</f>
        <v>8081.9599170758884</v>
      </c>
      <c r="AB5" s="16">
        <f>'Build-Up'!AB6</f>
        <v>8890.3114029709686</v>
      </c>
      <c r="AC5" s="16">
        <f>'Build-Up'!AC6</f>
        <v>9772.7200705862051</v>
      </c>
      <c r="AD5" s="16">
        <f>'Build-Up'!AD6</f>
        <v>10735.628977527207</v>
      </c>
      <c r="AE5" s="16">
        <f>'Build-Up'!AE6</f>
        <v>11786.022981133312</v>
      </c>
      <c r="AF5" s="16">
        <f>'Build-Up'!AF6</f>
        <v>12931.473215604867</v>
      </c>
      <c r="AG5" s="16">
        <f>'Build-Up'!AG6</f>
        <v>14180.185155669955</v>
      </c>
      <c r="AH5" s="16">
        <f>'Build-Up'!AH6</f>
        <v>15541.05055205321</v>
      </c>
    </row>
    <row r="6" spans="1:34" s="49" customFormat="1">
      <c r="B6" s="50" t="s">
        <v>17</v>
      </c>
      <c r="C6" s="49" t="s">
        <v>16</v>
      </c>
      <c r="D6" s="19"/>
      <c r="E6" s="19"/>
      <c r="F6" s="51">
        <v>-53.966000000000001</v>
      </c>
      <c r="G6" s="51">
        <v>-41.226999999999997</v>
      </c>
      <c r="H6" s="51">
        <v>-45.142000000000003</v>
      </c>
      <c r="I6" s="51">
        <v>-45.340904130000006</v>
      </c>
      <c r="J6" s="21">
        <v>-185.67590413000002</v>
      </c>
      <c r="K6" s="51">
        <v>-42.756</v>
      </c>
      <c r="L6" s="51">
        <v>-61.951999999999998</v>
      </c>
      <c r="M6" s="51">
        <v>-64.707999999999998</v>
      </c>
      <c r="N6" s="51">
        <v>-52.051000000000002</v>
      </c>
      <c r="O6" s="21">
        <f>SUM(K6:N6)</f>
        <v>-221.46699999999998</v>
      </c>
      <c r="P6" s="51">
        <v>-71.433999999999997</v>
      </c>
      <c r="Q6" s="51">
        <v>-83.682000000000002</v>
      </c>
      <c r="R6" s="51">
        <v>-89.298000000000002</v>
      </c>
      <c r="S6" s="51">
        <v>-107.577</v>
      </c>
      <c r="T6" s="21">
        <f>SUM(P6:S6)</f>
        <v>-351.99099999999999</v>
      </c>
      <c r="U6" s="15">
        <v>-102.1</v>
      </c>
      <c r="V6" s="52">
        <f>-V5*V44</f>
        <v>-123.04581421617046</v>
      </c>
      <c r="W6" s="52">
        <f t="shared" ref="W6:X6" si="0">-W5*W44</f>
        <v>-109.60383953166058</v>
      </c>
      <c r="X6" s="52">
        <f t="shared" si="0"/>
        <v>-132.70281303192272</v>
      </c>
      <c r="Y6" s="21">
        <f>SUM(U6:X6)</f>
        <v>-467.45246677975376</v>
      </c>
      <c r="Z6" s="52">
        <f>-Z5*Z44</f>
        <v>-544.78835828990407</v>
      </c>
      <c r="AA6" s="52">
        <f t="shared" ref="AA6:AH6" si="1">-AA5*AA44</f>
        <v>-628.25698912862538</v>
      </c>
      <c r="AB6" s="52">
        <f t="shared" si="1"/>
        <v>-691.09477549441544</v>
      </c>
      <c r="AC6" s="52">
        <f t="shared" si="1"/>
        <v>-759.68945034867147</v>
      </c>
      <c r="AD6" s="52">
        <f t="shared" si="1"/>
        <v>-834.54186942609329</v>
      </c>
      <c r="AE6" s="52">
        <f t="shared" si="1"/>
        <v>-916.19500565484816</v>
      </c>
      <c r="AF6" s="52">
        <f t="shared" si="1"/>
        <v>-1005.2374066181712</v>
      </c>
      <c r="AG6" s="52">
        <f t="shared" si="1"/>
        <v>-1102.3069308181996</v>
      </c>
      <c r="AH6" s="52">
        <f t="shared" si="1"/>
        <v>-1208.0947849171359</v>
      </c>
    </row>
    <row r="7" spans="1:34" s="49" customFormat="1">
      <c r="B7" s="53" t="s">
        <v>70</v>
      </c>
      <c r="C7" s="49" t="s">
        <v>16</v>
      </c>
      <c r="D7" s="19"/>
      <c r="E7" s="19"/>
      <c r="F7" s="51"/>
      <c r="G7" s="51"/>
      <c r="H7" s="51"/>
      <c r="I7" s="51"/>
      <c r="J7" s="21"/>
      <c r="K7" s="51"/>
      <c r="L7" s="51"/>
      <c r="M7" s="51"/>
      <c r="N7" s="51"/>
      <c r="O7" s="21">
        <v>-48.712000000000003</v>
      </c>
      <c r="P7" s="51"/>
      <c r="Q7" s="51"/>
      <c r="R7" s="51"/>
      <c r="S7" s="51"/>
      <c r="T7" s="21">
        <v>-99.308000000000007</v>
      </c>
      <c r="U7" s="52">
        <f>U45*-U5</f>
        <v>-30.703199999999995</v>
      </c>
      <c r="V7" s="52">
        <f>-V5*V45</f>
        <v>-32.346169854768831</v>
      </c>
      <c r="W7" s="52">
        <f t="shared" ref="W7:X7" si="2">-W5*W45</f>
        <v>-33.838936581889904</v>
      </c>
      <c r="X7" s="52">
        <f t="shared" si="2"/>
        <v>-36.530921118846749</v>
      </c>
      <c r="Y7" s="21">
        <f>SUM(U7:X7)</f>
        <v>-133.41922755550547</v>
      </c>
      <c r="Z7" s="52">
        <f>-Z5*Z45</f>
        <v>-155.49226308504544</v>
      </c>
      <c r="AA7" s="52">
        <f t="shared" ref="AA7:AH7" si="3">-AA5*AA45</f>
        <v>-179.31569122595386</v>
      </c>
      <c r="AB7" s="52">
        <f t="shared" si="3"/>
        <v>-197.25071032207023</v>
      </c>
      <c r="AC7" s="52">
        <f t="shared" si="3"/>
        <v>-216.82884753144751</v>
      </c>
      <c r="AD7" s="52">
        <f t="shared" si="3"/>
        <v>-238.19305596694602</v>
      </c>
      <c r="AE7" s="52">
        <f t="shared" si="3"/>
        <v>-261.49830973568442</v>
      </c>
      <c r="AF7" s="52">
        <f t="shared" si="3"/>
        <v>-286.91259075992292</v>
      </c>
      <c r="AG7" s="52">
        <f t="shared" si="3"/>
        <v>-314.61795517304989</v>
      </c>
      <c r="AH7" s="52">
        <f t="shared" si="3"/>
        <v>-344.81168561983924</v>
      </c>
    </row>
    <row r="8" spans="1:34" s="11" customFormat="1">
      <c r="B8" s="11" t="s">
        <v>18</v>
      </c>
      <c r="C8" s="11" t="s">
        <v>16</v>
      </c>
      <c r="D8" s="20">
        <v>1050.836</v>
      </c>
      <c r="E8" s="20">
        <v>1689.51</v>
      </c>
      <c r="F8" s="16">
        <f t="shared" ref="F8:U8" si="4">SUM(F5:F6)</f>
        <v>453.35899999999998</v>
      </c>
      <c r="G8" s="16">
        <f t="shared" si="4"/>
        <v>482.65499999999997</v>
      </c>
      <c r="H8" s="16">
        <f t="shared" si="4"/>
        <v>524.85799999999995</v>
      </c>
      <c r="I8" s="16">
        <f t="shared" si="4"/>
        <v>574.26370842000017</v>
      </c>
      <c r="J8" s="58">
        <v>2035.1357084200001</v>
      </c>
      <c r="K8" s="59">
        <f t="shared" si="4"/>
        <v>614.55200000000002</v>
      </c>
      <c r="L8" s="59">
        <f t="shared" si="4"/>
        <v>640.21500000000003</v>
      </c>
      <c r="M8" s="59">
        <f t="shared" si="4"/>
        <v>679.42000000000007</v>
      </c>
      <c r="N8" s="59">
        <f t="shared" si="4"/>
        <v>767.87899999999991</v>
      </c>
      <c r="O8" s="58">
        <f t="shared" si="4"/>
        <v>2702.0659999999998</v>
      </c>
      <c r="P8" s="59">
        <f t="shared" si="4"/>
        <v>807.952</v>
      </c>
      <c r="Q8" s="59">
        <f t="shared" si="4"/>
        <v>899.9</v>
      </c>
      <c r="R8" s="59">
        <f t="shared" si="4"/>
        <v>1163.8720000000001</v>
      </c>
      <c r="S8" s="59">
        <f t="shared" si="4"/>
        <v>1216.528</v>
      </c>
      <c r="T8" s="58">
        <f t="shared" si="4"/>
        <v>4088.2520000000004</v>
      </c>
      <c r="U8" s="59">
        <f t="shared" si="4"/>
        <v>1293.5</v>
      </c>
      <c r="V8" s="59">
        <f>V5+V6</f>
        <v>1323.2108244680076</v>
      </c>
      <c r="W8" s="59">
        <f t="shared" ref="W8:AH8" si="5">W5+W6</f>
        <v>1428.5296414633349</v>
      </c>
      <c r="X8" s="59">
        <f t="shared" si="5"/>
        <v>1500.6617374726836</v>
      </c>
      <c r="Y8" s="58">
        <f t="shared" si="5"/>
        <v>5545.9022034040245</v>
      </c>
      <c r="Z8" s="59">
        <f t="shared" si="5"/>
        <v>6463.4228533280675</v>
      </c>
      <c r="AA8" s="59">
        <f t="shared" si="5"/>
        <v>7453.7029279472627</v>
      </c>
      <c r="AB8" s="59">
        <f t="shared" si="5"/>
        <v>8199.2166274765532</v>
      </c>
      <c r="AC8" s="59">
        <f t="shared" si="5"/>
        <v>9013.0306202375341</v>
      </c>
      <c r="AD8" s="59">
        <f t="shared" si="5"/>
        <v>9901.0871081011137</v>
      </c>
      <c r="AE8" s="59">
        <f t="shared" si="5"/>
        <v>10869.827975478463</v>
      </c>
      <c r="AF8" s="59">
        <f t="shared" si="5"/>
        <v>11926.235808986696</v>
      </c>
      <c r="AG8" s="59">
        <f t="shared" si="5"/>
        <v>13077.878224851755</v>
      </c>
      <c r="AH8" s="59">
        <f t="shared" si="5"/>
        <v>14332.955767136074</v>
      </c>
    </row>
    <row r="9" spans="1:34">
      <c r="B9" s="12" t="s">
        <v>19</v>
      </c>
      <c r="C9" t="s">
        <v>16</v>
      </c>
      <c r="D9" s="19">
        <v>-741.43</v>
      </c>
      <c r="E9" s="19">
        <v>-1228.981</v>
      </c>
      <c r="F9" s="15">
        <v>-326.11200000000002</v>
      </c>
      <c r="G9" s="15">
        <v>-330.86</v>
      </c>
      <c r="H9" s="15">
        <v>-356.661</v>
      </c>
      <c r="I9" s="15">
        <v>-385.82600000000002</v>
      </c>
      <c r="J9" s="21">
        <v>-1399.4590000000001</v>
      </c>
      <c r="K9" s="15">
        <v>-419.78228619999999</v>
      </c>
      <c r="L9" s="15">
        <v>-450.70571380000001</v>
      </c>
      <c r="M9" s="15">
        <v>-460.52</v>
      </c>
      <c r="N9" s="15">
        <v>-502.267</v>
      </c>
      <c r="O9" s="21">
        <f>SUM(K9:N9)</f>
        <v>-1833.2750000000001</v>
      </c>
      <c r="P9" s="15">
        <v>-536.62099999999998</v>
      </c>
      <c r="Q9" s="15">
        <v>-578.61400000000003</v>
      </c>
      <c r="R9" s="15">
        <v>-756.47299999999996</v>
      </c>
      <c r="S9" s="15">
        <v>-764.43700000000001</v>
      </c>
      <c r="T9" s="21">
        <f>SUM(P9:S9)</f>
        <v>-2636.145</v>
      </c>
      <c r="U9" s="15">
        <v>-822.9</v>
      </c>
      <c r="V9" s="17">
        <f>-'Build-Up'!V51</f>
        <v>-925.31875411112685</v>
      </c>
      <c r="W9" s="17">
        <f>-'Build-Up'!W51</f>
        <v>-930.80713316499123</v>
      </c>
      <c r="X9" s="17">
        <f>-'Build-Up'!X51</f>
        <v>-1020.6286243692473</v>
      </c>
      <c r="Y9" s="21">
        <f>-'Build-Up'!Y51</f>
        <v>-3699.6545116453653</v>
      </c>
      <c r="Z9" s="17">
        <f>-'Build-Up'!Z51</f>
        <v>-4327.6587466098672</v>
      </c>
      <c r="AA9" s="17">
        <f>-'Build-Up'!AA51</f>
        <v>-4973.5871894853572</v>
      </c>
      <c r="AB9" s="17">
        <f>-'Build-Up'!AB51</f>
        <v>-5455.976268168225</v>
      </c>
      <c r="AC9" s="17">
        <f>-'Build-Up'!AC51</f>
        <v>-5981.4114135097025</v>
      </c>
      <c r="AD9" s="17">
        <f>-'Build-Up'!AD51</f>
        <v>-6553.5720894481474</v>
      </c>
      <c r="AE9" s="17">
        <f>-'Build-Up'!AE51</f>
        <v>-7176.4437952419776</v>
      </c>
      <c r="AF9" s="17">
        <f>-'Build-Up'!AF51</f>
        <v>-7854.3430242857721</v>
      </c>
      <c r="AG9" s="17">
        <f>-'Build-Up'!AG51</f>
        <v>-8591.9442278397873</v>
      </c>
      <c r="AH9" s="17">
        <f>-'Build-Up'!AH51</f>
        <v>-9394.3089427836985</v>
      </c>
    </row>
    <row r="10" spans="1:34">
      <c r="B10" s="22" t="s">
        <v>21</v>
      </c>
      <c r="C10" t="s">
        <v>16</v>
      </c>
      <c r="D10" s="19">
        <v>-645.64599999999996</v>
      </c>
      <c r="E10" s="19">
        <v>-1086.818</v>
      </c>
      <c r="F10" s="15">
        <v>-326.11</v>
      </c>
      <c r="G10" s="15">
        <v>-330.85300000000001</v>
      </c>
      <c r="H10" s="15">
        <v>-296.51100000000002</v>
      </c>
      <c r="I10" s="17">
        <f>J10-SUM(F10:H10)</f>
        <v>-344.12900000000013</v>
      </c>
      <c r="J10" s="19">
        <v>-1297.6030000000001</v>
      </c>
      <c r="K10" s="15">
        <v>-374.42700000000002</v>
      </c>
      <c r="L10" s="15">
        <v>-433.596</v>
      </c>
      <c r="M10" s="15">
        <v>-384.83100000000002</v>
      </c>
      <c r="N10" s="17">
        <f>O10-SUM(K10:M10)</f>
        <v>-499.84199999999987</v>
      </c>
      <c r="O10" s="19">
        <v>-1692.6959999999999</v>
      </c>
      <c r="P10" s="15">
        <v>-482.44099999999997</v>
      </c>
      <c r="Q10" s="15">
        <v>-543.29300000000001</v>
      </c>
      <c r="R10" s="15">
        <v>-659.89800000000002</v>
      </c>
      <c r="S10" s="23">
        <f>T10-SUM(P10:R10)</f>
        <v>-716.88699999999972</v>
      </c>
      <c r="T10" s="19">
        <v>-2402.5189999999998</v>
      </c>
      <c r="U10" s="17">
        <v>-736.53899999999999</v>
      </c>
      <c r="V10" s="17">
        <f>-'Build-Up'!V54</f>
        <v>-833.84845846397775</v>
      </c>
      <c r="W10" s="17">
        <f>-'Build-Up'!W54</f>
        <v>-834.09582368447332</v>
      </c>
      <c r="X10" s="17">
        <f>-'Build-Up'!X54</f>
        <v>-918.5418119670901</v>
      </c>
      <c r="Y10" s="21">
        <f>-'Build-Up'!Y54</f>
        <v>-3323.0250941155409</v>
      </c>
      <c r="Z10" s="17">
        <f>-'Build-Up'!Z54</f>
        <v>-3897.3973000237957</v>
      </c>
      <c r="AA10" s="17">
        <f>-'Build-Up'!AA54</f>
        <v>-4494.5290329570535</v>
      </c>
      <c r="AB10" s="17">
        <f>-'Build-Up'!AB54</f>
        <v>-4944.0684094779808</v>
      </c>
      <c r="AC10" s="17">
        <f>-'Build-Up'!AC54</f>
        <v>-5434.7923695350073</v>
      </c>
      <c r="AD10" s="17">
        <f>-'Build-Up'!AD54</f>
        <v>-5970.2840179401501</v>
      </c>
      <c r="AE10" s="17">
        <f>-'Build-Up'!AE54</f>
        <v>-6554.4277644683734</v>
      </c>
      <c r="AF10" s="17">
        <f>-'Build-Up'!AF54</f>
        <v>-7191.4340584197244</v>
      </c>
      <c r="AG10" s="17">
        <f>-'Build-Up'!AG54</f>
        <v>-7885.8661177231397</v>
      </c>
      <c r="AH10" s="17">
        <f>-'Build-Up'!AH54</f>
        <v>-8642.6688112217871</v>
      </c>
    </row>
    <row r="11" spans="1:34">
      <c r="B11" s="22" t="s">
        <v>22</v>
      </c>
      <c r="C11" t="s">
        <v>16</v>
      </c>
      <c r="D11" s="24">
        <f>D9-D10</f>
        <v>-95.783999999999992</v>
      </c>
      <c r="E11" s="24">
        <f>E9-E10</f>
        <v>-142.16300000000001</v>
      </c>
      <c r="F11" s="17">
        <f>F9-F10</f>
        <v>-2.0000000000095497E-3</v>
      </c>
      <c r="G11" s="17">
        <f>G9-G10</f>
        <v>-7.0000000000050022E-3</v>
      </c>
      <c r="H11" s="17">
        <f>H9-H10</f>
        <v>-60.149999999999977</v>
      </c>
      <c r="I11" s="17">
        <f>J11-SUM(F11:H11)</f>
        <v>-41.697000000000003</v>
      </c>
      <c r="J11" s="24">
        <v>-101.85599999999999</v>
      </c>
      <c r="K11" s="23">
        <f>K9-K10</f>
        <v>-45.355286199999966</v>
      </c>
      <c r="L11" s="23">
        <f>L9-L10</f>
        <v>-17.109713800000009</v>
      </c>
      <c r="M11" s="23">
        <f>M9-M10</f>
        <v>-75.688999999999965</v>
      </c>
      <c r="N11" s="23">
        <f>O11-SUM(K11:M11)</f>
        <v>-2.4250000000002387</v>
      </c>
      <c r="O11" s="24">
        <f>O9-O10</f>
        <v>-140.57900000000018</v>
      </c>
      <c r="P11" s="23">
        <f>P9-P10</f>
        <v>-54.180000000000007</v>
      </c>
      <c r="Q11" s="23">
        <f>Q9-Q10</f>
        <v>-35.321000000000026</v>
      </c>
      <c r="R11" s="17">
        <f>R9-R10</f>
        <v>-96.574999999999932</v>
      </c>
      <c r="S11" s="23">
        <f>T11-SUM(P11:R11)</f>
        <v>-47.550000000000239</v>
      </c>
      <c r="T11" s="21">
        <f>T9-T10</f>
        <v>-233.6260000000002</v>
      </c>
      <c r="U11" s="17">
        <f>U9-U10</f>
        <v>-86.36099999999999</v>
      </c>
      <c r="V11" s="17">
        <f>-'Build-Up'!V60</f>
        <v>-91.470295647149143</v>
      </c>
      <c r="W11" s="17">
        <f>-'Build-Up'!W60</f>
        <v>-96.711309480517926</v>
      </c>
      <c r="X11" s="17">
        <f>-'Build-Up'!X60</f>
        <v>-102.08681240215724</v>
      </c>
      <c r="Y11" s="21">
        <f>-'Build-Up'!Y60</f>
        <v>-376.62941752982431</v>
      </c>
      <c r="Z11" s="17">
        <f>-'Build-Up'!Z60</f>
        <v>-430.26144658607137</v>
      </c>
      <c r="AA11" s="17">
        <f>-'Build-Up'!AA60</f>
        <v>-479.05815652830347</v>
      </c>
      <c r="AB11" s="17">
        <f>-'Build-Up'!AB60</f>
        <v>-511.90785869024421</v>
      </c>
      <c r="AC11" s="17">
        <f>-'Build-Up'!AC60</f>
        <v>-546.61904397469505</v>
      </c>
      <c r="AD11" s="17">
        <f>-'Build-Up'!AD60</f>
        <v>-583.28807150799753</v>
      </c>
      <c r="AE11" s="17">
        <f>-'Build-Up'!AE60</f>
        <v>-622.0160307736046</v>
      </c>
      <c r="AF11" s="17">
        <f>-'Build-Up'!AF60</f>
        <v>-662.90896586604765</v>
      </c>
      <c r="AG11" s="17">
        <f>-'Build-Up'!AG60</f>
        <v>-706.0781101166483</v>
      </c>
      <c r="AH11" s="17">
        <f>-'Build-Up'!AH60</f>
        <v>-751.64013156191118</v>
      </c>
    </row>
    <row r="12" spans="1:34" s="11" customFormat="1">
      <c r="B12" s="11" t="s">
        <v>20</v>
      </c>
      <c r="C12" s="11" t="s">
        <v>16</v>
      </c>
      <c r="D12" s="20">
        <f t="shared" ref="D12:I12" si="6">SUM(D8,D9)</f>
        <v>309.40600000000006</v>
      </c>
      <c r="E12" s="20">
        <f t="shared" si="6"/>
        <v>460.529</v>
      </c>
      <c r="F12" s="16">
        <f t="shared" si="6"/>
        <v>127.24699999999996</v>
      </c>
      <c r="G12" s="16">
        <f t="shared" si="6"/>
        <v>151.79499999999996</v>
      </c>
      <c r="H12" s="16">
        <f t="shared" si="6"/>
        <v>168.19699999999995</v>
      </c>
      <c r="I12" s="16">
        <f t="shared" si="6"/>
        <v>188.43770842000015</v>
      </c>
      <c r="J12" s="20">
        <v>635.67670842000007</v>
      </c>
      <c r="K12" s="16">
        <f t="shared" ref="K12:U12" si="7">SUM(K8,K9)</f>
        <v>194.76971380000003</v>
      </c>
      <c r="L12" s="16">
        <f t="shared" si="7"/>
        <v>189.50928620000002</v>
      </c>
      <c r="M12" s="16">
        <f t="shared" si="7"/>
        <v>218.90000000000009</v>
      </c>
      <c r="N12" s="16">
        <f t="shared" si="7"/>
        <v>265.61199999999991</v>
      </c>
      <c r="O12" s="20">
        <f t="shared" si="7"/>
        <v>868.79099999999971</v>
      </c>
      <c r="P12" s="16">
        <f t="shared" si="7"/>
        <v>271.33100000000002</v>
      </c>
      <c r="Q12" s="16">
        <f t="shared" si="7"/>
        <v>321.28599999999994</v>
      </c>
      <c r="R12" s="16">
        <f t="shared" si="7"/>
        <v>407.39900000000011</v>
      </c>
      <c r="S12" s="16">
        <f t="shared" si="7"/>
        <v>452.09100000000001</v>
      </c>
      <c r="T12" s="20">
        <f t="shared" si="7"/>
        <v>1452.1070000000004</v>
      </c>
      <c r="U12" s="16">
        <f t="shared" si="7"/>
        <v>470.6</v>
      </c>
      <c r="V12" s="16">
        <f>V8+V9</f>
        <v>397.89207035688071</v>
      </c>
      <c r="W12" s="16">
        <f t="shared" ref="W12:AH12" si="8">W8+W9</f>
        <v>497.72250829834366</v>
      </c>
      <c r="X12" s="16">
        <f t="shared" si="8"/>
        <v>480.03311310343634</v>
      </c>
      <c r="Y12" s="20">
        <f t="shared" si="8"/>
        <v>1846.2476917586591</v>
      </c>
      <c r="Z12" s="16">
        <f t="shared" si="8"/>
        <v>2135.7641067182003</v>
      </c>
      <c r="AA12" s="16">
        <f t="shared" si="8"/>
        <v>2480.1157384619055</v>
      </c>
      <c r="AB12" s="16">
        <f t="shared" si="8"/>
        <v>2743.2403593083282</v>
      </c>
      <c r="AC12" s="16">
        <f t="shared" si="8"/>
        <v>3031.6192067278316</v>
      </c>
      <c r="AD12" s="16">
        <f t="shared" si="8"/>
        <v>3347.5150186529663</v>
      </c>
      <c r="AE12" s="16">
        <f t="shared" si="8"/>
        <v>3693.3841802364859</v>
      </c>
      <c r="AF12" s="16">
        <f t="shared" si="8"/>
        <v>4071.8927847009236</v>
      </c>
      <c r="AG12" s="16">
        <f t="shared" si="8"/>
        <v>4485.9339970119672</v>
      </c>
      <c r="AH12" s="16">
        <f t="shared" si="8"/>
        <v>4938.6468243523759</v>
      </c>
    </row>
    <row r="13" spans="1:34" s="11" customFormat="1">
      <c r="B13" s="12" t="s">
        <v>71</v>
      </c>
      <c r="C13" t="s">
        <v>16</v>
      </c>
      <c r="D13" s="21">
        <f>SUM(D14,D18,D19)</f>
        <v>-244.59399999999999</v>
      </c>
      <c r="E13" s="21">
        <f t="shared" ref="E13:U13" si="9">SUM(E14,E18,E19)</f>
        <v>-402.87799999999999</v>
      </c>
      <c r="F13" s="17">
        <f t="shared" si="9"/>
        <v>-121.60239987999998</v>
      </c>
      <c r="G13" s="17">
        <f t="shared" si="9"/>
        <v>-126.34194619174376</v>
      </c>
      <c r="H13" s="17">
        <f t="shared" si="9"/>
        <v>-113.11135479771127</v>
      </c>
      <c r="I13" s="17">
        <f t="shared" si="9"/>
        <v>-255.00530864392874</v>
      </c>
      <c r="J13" s="21">
        <v>-616.06100951338374</v>
      </c>
      <c r="K13" s="17">
        <f t="shared" si="9"/>
        <v>-139.37629916999998</v>
      </c>
      <c r="L13" s="17">
        <f t="shared" si="9"/>
        <v>-337.16517177000003</v>
      </c>
      <c r="M13" s="17">
        <f t="shared" si="9"/>
        <v>-22.538418852133049</v>
      </c>
      <c r="N13" s="17">
        <f t="shared" si="9"/>
        <v>-192.46166814170931</v>
      </c>
      <c r="O13" s="21">
        <f t="shared" si="9"/>
        <v>-691.54155793384223</v>
      </c>
      <c r="P13" s="17">
        <f t="shared" si="9"/>
        <v>-198.75957981053384</v>
      </c>
      <c r="Q13" s="17">
        <f t="shared" si="9"/>
        <v>-245.30633609147796</v>
      </c>
      <c r="R13" s="17">
        <f t="shared" si="9"/>
        <v>-276.29139493798812</v>
      </c>
      <c r="S13" s="17">
        <f t="shared" si="9"/>
        <v>-261.2</v>
      </c>
      <c r="T13" s="21">
        <f t="shared" si="9"/>
        <v>-981.5573108399999</v>
      </c>
      <c r="U13" s="15">
        <f t="shared" si="9"/>
        <v>-261.85000000000002</v>
      </c>
      <c r="V13" s="17">
        <f>V14+V18+V19</f>
        <v>-302.97835429349624</v>
      </c>
      <c r="W13" s="17">
        <f t="shared" ref="W13:AH13" si="10">W14+W18+W19</f>
        <v>-315.1441946496044</v>
      </c>
      <c r="X13" s="17">
        <f t="shared" si="10"/>
        <v>-327.65675799700443</v>
      </c>
      <c r="Y13" s="21">
        <f t="shared" si="10"/>
        <v>-1098.4293069401051</v>
      </c>
      <c r="Z13" s="17">
        <f t="shared" si="10"/>
        <v>-1258.9984017711531</v>
      </c>
      <c r="AA13" s="17">
        <f t="shared" si="10"/>
        <v>-1393.7474670754768</v>
      </c>
      <c r="AB13" s="17">
        <f t="shared" si="10"/>
        <v>-1486.6987838471657</v>
      </c>
      <c r="AC13" s="17">
        <f t="shared" si="10"/>
        <v>-1586.6232114219101</v>
      </c>
      <c r="AD13" s="17">
        <f t="shared" si="10"/>
        <v>-1693.2913520888051</v>
      </c>
      <c r="AE13" s="17">
        <f t="shared" si="10"/>
        <v>-1807.1530974475263</v>
      </c>
      <c r="AF13" s="17">
        <f t="shared" si="10"/>
        <v>-1928.6797264829609</v>
      </c>
      <c r="AG13" s="17">
        <f t="shared" si="10"/>
        <v>-2058.3663789781172</v>
      </c>
      <c r="AH13" s="17">
        <f t="shared" si="10"/>
        <v>-2196.7345050351041</v>
      </c>
    </row>
    <row r="14" spans="1:34">
      <c r="B14" s="22" t="s">
        <v>23</v>
      </c>
      <c r="C14" t="s">
        <v>16</v>
      </c>
      <c r="D14" s="19">
        <v>-226.666</v>
      </c>
      <c r="E14" s="19">
        <v>-338.774</v>
      </c>
      <c r="F14" s="17">
        <f>SUM(F15:F17)</f>
        <v>-98.390399879999975</v>
      </c>
      <c r="G14" s="17">
        <f t="shared" ref="G14:U14" si="11">SUM(G15:G17)</f>
        <v>-102.57494619174376</v>
      </c>
      <c r="H14" s="17">
        <f t="shared" si="11"/>
        <v>-93.436354797711275</v>
      </c>
      <c r="I14" s="17">
        <f t="shared" si="11"/>
        <v>-99.952308643928745</v>
      </c>
      <c r="J14" s="24">
        <v>-394.35400951338374</v>
      </c>
      <c r="K14" s="17">
        <f t="shared" si="11"/>
        <v>-103.08829916999998</v>
      </c>
      <c r="L14" s="17">
        <f t="shared" si="11"/>
        <v>-105.71717177000001</v>
      </c>
      <c r="M14" s="17">
        <f t="shared" si="11"/>
        <v>-132.11841885213306</v>
      </c>
      <c r="N14" s="17">
        <f t="shared" si="11"/>
        <v>-154.4836681417093</v>
      </c>
      <c r="O14" s="24">
        <f t="shared" si="11"/>
        <v>-495.40755793384233</v>
      </c>
      <c r="P14" s="17">
        <f t="shared" si="11"/>
        <v>-158.49357981053384</v>
      </c>
      <c r="Q14" s="17">
        <f t="shared" si="11"/>
        <v>-192.34833609147796</v>
      </c>
      <c r="R14" s="17">
        <f t="shared" si="11"/>
        <v>-214.65148257798811</v>
      </c>
      <c r="S14" s="17">
        <f t="shared" si="11"/>
        <v>-213.6</v>
      </c>
      <c r="T14" s="21">
        <f t="shared" si="11"/>
        <v>-779.09339847999991</v>
      </c>
      <c r="U14" s="15">
        <f t="shared" si="11"/>
        <v>-193.65000000000003</v>
      </c>
      <c r="V14" s="17">
        <f>SUM(V15:V17)</f>
        <v>-205.47712010221707</v>
      </c>
      <c r="W14" s="17">
        <f t="shared" ref="W14:AH14" si="12">SUM(W15:W17)</f>
        <v>-217.64296045832526</v>
      </c>
      <c r="X14" s="17">
        <f t="shared" si="12"/>
        <v>-230.15552380572524</v>
      </c>
      <c r="Y14" s="21">
        <f t="shared" si="12"/>
        <v>-846.92560436626763</v>
      </c>
      <c r="Z14" s="17">
        <f t="shared" si="12"/>
        <v>-974.67251557686541</v>
      </c>
      <c r="AA14" s="17">
        <f t="shared" si="12"/>
        <v>-1093.2555731792472</v>
      </c>
      <c r="AB14" s="17">
        <f t="shared" si="12"/>
        <v>-1176.8996142101967</v>
      </c>
      <c r="AC14" s="17">
        <f t="shared" si="12"/>
        <v>-1266.0576930144466</v>
      </c>
      <c r="AD14" s="17">
        <f t="shared" si="12"/>
        <v>-1361.0681246399481</v>
      </c>
      <c r="AE14" s="17">
        <f t="shared" si="12"/>
        <v>-1462.2891398187044</v>
      </c>
      <c r="AF14" s="17">
        <f t="shared" si="12"/>
        <v>-1570.1000266552544</v>
      </c>
      <c r="AG14" s="17">
        <f t="shared" si="12"/>
        <v>-1684.902336576574</v>
      </c>
      <c r="AH14" s="17">
        <f t="shared" si="12"/>
        <v>-1807.1211581123998</v>
      </c>
    </row>
    <row r="15" spans="1:34" s="11" customFormat="1" hidden="1" outlineLevel="1">
      <c r="B15" s="43" t="s">
        <v>25</v>
      </c>
      <c r="C15" t="s">
        <v>16</v>
      </c>
      <c r="D15" s="19"/>
      <c r="E15" s="19"/>
      <c r="F15" s="15">
        <v>-71.8</v>
      </c>
      <c r="G15" s="15">
        <v>-76.003146131743762</v>
      </c>
      <c r="H15" s="15">
        <v>-78.727383429407524</v>
      </c>
      <c r="I15" s="15">
        <v>-74.299899888647658</v>
      </c>
      <c r="J15" s="24">
        <v>-300.83042944979894</v>
      </c>
      <c r="K15" s="15">
        <v>-75.980299169999981</v>
      </c>
      <c r="L15" s="15">
        <v>-83.456171770000012</v>
      </c>
      <c r="M15" s="15">
        <v>-96.523870206533672</v>
      </c>
      <c r="N15" s="15">
        <v>-111.3900637061973</v>
      </c>
      <c r="O15" s="21">
        <f>SUM(K15:N15)</f>
        <v>-367.35040485273095</v>
      </c>
      <c r="P15" s="15">
        <v>-122.07731225615645</v>
      </c>
      <c r="Q15" s="15">
        <v>-146.45331609809261</v>
      </c>
      <c r="R15" s="15">
        <v>-158.41790906218688</v>
      </c>
      <c r="S15" s="15">
        <v>-163.6</v>
      </c>
      <c r="T15" s="21">
        <f>SUM(P15:S15)</f>
        <v>-590.54853741643592</v>
      </c>
      <c r="U15" s="15">
        <v>-148.82269347033198</v>
      </c>
      <c r="V15" s="17">
        <f>-'Build-Up'!V73</f>
        <v>-157.99773726350381</v>
      </c>
      <c r="W15" s="17">
        <f>-'Build-Up'!W73</f>
        <v>-167.44313050071975</v>
      </c>
      <c r="X15" s="17">
        <f>-'Build-Up'!X73</f>
        <v>-177.16543763038891</v>
      </c>
      <c r="Y15" s="21">
        <f>-'Build-Up'!Y73</f>
        <v>-651.42899886494445</v>
      </c>
      <c r="Z15" s="17">
        <f>-'Build-Up'!Z73</f>
        <v>-751.33719345215388</v>
      </c>
      <c r="AA15" s="17">
        <f>-'Build-Up'!AA73</f>
        <v>-844.59139805121538</v>
      </c>
      <c r="AB15" s="17">
        <f>-'Build-Up'!AB73</f>
        <v>-911.18418135909963</v>
      </c>
      <c r="AC15" s="17">
        <f>-'Build-Up'!AC73</f>
        <v>-982.32476450264426</v>
      </c>
      <c r="AD15" s="17">
        <f>-'Build-Up'!AD73</f>
        <v>-1058.3014455071459</v>
      </c>
      <c r="AE15" s="17">
        <f>-'Build-Up'!AE73</f>
        <v>-1139.4199827008408</v>
      </c>
      <c r="AF15" s="17">
        <f>-'Build-Up'!AF73</f>
        <v>-1226.0046200001373</v>
      </c>
      <c r="AG15" s="17">
        <f>-'Build-Up'!AG73</f>
        <v>-1318.3991710726116</v>
      </c>
      <c r="AH15" s="17">
        <f>-'Build-Up'!AH73</f>
        <v>-1416.9681657023327</v>
      </c>
    </row>
    <row r="16" spans="1:34" hidden="1" outlineLevel="1">
      <c r="B16" s="43" t="s">
        <v>24</v>
      </c>
      <c r="C16" t="s">
        <v>16</v>
      </c>
      <c r="D16" s="19"/>
      <c r="E16" s="19"/>
      <c r="F16" s="15">
        <v>-11.6</v>
      </c>
      <c r="G16" s="15">
        <v>-9.7249999999999996</v>
      </c>
      <c r="H16" s="15">
        <v>-11.550938970948806</v>
      </c>
      <c r="I16" s="15">
        <v>-10.780101214568935</v>
      </c>
      <c r="J16" s="24">
        <v>-43.656040185517746</v>
      </c>
      <c r="K16" s="15">
        <v>-15.987000000000002</v>
      </c>
      <c r="L16" s="15">
        <v>-12.782</v>
      </c>
      <c r="M16" s="15">
        <v>-23.374500832069963</v>
      </c>
      <c r="N16" s="15">
        <v>-32.667416558161115</v>
      </c>
      <c r="O16" s="21">
        <f>SUM(K16:N16)</f>
        <v>-84.810917390231083</v>
      </c>
      <c r="P16" s="15">
        <v>-21.274509450861302</v>
      </c>
      <c r="Q16" s="15">
        <v>-24.713788220436882</v>
      </c>
      <c r="R16" s="15">
        <v>-41.937690470333834</v>
      </c>
      <c r="S16" s="15">
        <v>-29.8</v>
      </c>
      <c r="T16" s="21">
        <f t="shared" ref="T16:T17" si="13">SUM(P16:S16)</f>
        <v>-117.72598814163202</v>
      </c>
      <c r="U16" s="15">
        <v>-35.382426771422303</v>
      </c>
      <c r="V16" s="17">
        <f>-'Build-Up'!V77</f>
        <v>-37.475724429957999</v>
      </c>
      <c r="W16" s="17">
        <f>-'Build-Up'!W77</f>
        <v>-39.622987525188279</v>
      </c>
      <c r="X16" s="17">
        <f>-'Build-Up'!X77</f>
        <v>-41.825351306113348</v>
      </c>
      <c r="Y16" s="21">
        <f>-'Build-Up'!Y77</f>
        <v>-154.30649003268195</v>
      </c>
      <c r="Z16" s="17">
        <f>-'Build-Up'!Z77</f>
        <v>-176.27973421333584</v>
      </c>
      <c r="AA16" s="17">
        <f>-'Build-Up'!AA77</f>
        <v>-196.27192995235418</v>
      </c>
      <c r="AB16" s="17">
        <f>-'Build-Up'!AB77</f>
        <v>-209.73057657765847</v>
      </c>
      <c r="AC16" s="17">
        <f>-'Build-Up'!AC77</f>
        <v>-223.95187984506333</v>
      </c>
      <c r="AD16" s="17">
        <f>-'Build-Up'!AD77</f>
        <v>-238.97531845133636</v>
      </c>
      <c r="AE16" s="17">
        <f>-'Build-Up'!AE77</f>
        <v>-254.8423091383591</v>
      </c>
      <c r="AF16" s="17">
        <f>-'Build-Up'!AF77</f>
        <v>-271.59629857082149</v>
      </c>
      <c r="AG16" s="17">
        <f>-'Build-Up'!AG77</f>
        <v>-289.28285946325957</v>
      </c>
      <c r="AH16" s="17">
        <f>-'Build-Up'!AH77</f>
        <v>-307.94979114937934</v>
      </c>
    </row>
    <row r="17" spans="1:34" hidden="1" outlineLevel="1">
      <c r="B17" s="43" t="s">
        <v>22</v>
      </c>
      <c r="C17" t="s">
        <v>16</v>
      </c>
      <c r="D17" s="19"/>
      <c r="E17" s="19"/>
      <c r="F17" s="15">
        <v>-14.990399879999984</v>
      </c>
      <c r="G17" s="15">
        <v>-16.846800060000007</v>
      </c>
      <c r="H17" s="15">
        <v>-3.1580323973549445</v>
      </c>
      <c r="I17" s="15">
        <v>-14.872307540712157</v>
      </c>
      <c r="J17" s="24">
        <v>-49.867539878067092</v>
      </c>
      <c r="K17" s="15">
        <v>-11.121</v>
      </c>
      <c r="L17" s="15">
        <v>-9.4789999999999992</v>
      </c>
      <c r="M17" s="15">
        <v>-12.220047813529421</v>
      </c>
      <c r="N17" s="15">
        <v>-10.426187877350879</v>
      </c>
      <c r="O17" s="21">
        <f>SUM(K17:N17)</f>
        <v>-43.246235690880297</v>
      </c>
      <c r="P17" s="15">
        <v>-15.1417581035161</v>
      </c>
      <c r="Q17" s="15">
        <v>-21.181231772948465</v>
      </c>
      <c r="R17" s="15">
        <v>-14.295883045467374</v>
      </c>
      <c r="S17" s="15">
        <v>-20.2</v>
      </c>
      <c r="T17" s="21">
        <f t="shared" si="13"/>
        <v>-70.818872921931941</v>
      </c>
      <c r="U17" s="15">
        <v>-9.4448797582457509</v>
      </c>
      <c r="V17" s="17">
        <f>-'Build-Up'!V81</f>
        <v>-10.003658408755264</v>
      </c>
      <c r="W17" s="17">
        <f>-'Build-Up'!W81</f>
        <v>-10.576842432417227</v>
      </c>
      <c r="X17" s="17">
        <f>-'Build-Up'!X81</f>
        <v>-11.164734869222983</v>
      </c>
      <c r="Y17" s="21">
        <f>-'Build-Up'!Y81</f>
        <v>-41.190115468641224</v>
      </c>
      <c r="Z17" s="17">
        <f>-'Build-Up'!Z81</f>
        <v>-47.055587911375731</v>
      </c>
      <c r="AA17" s="17">
        <f>-'Build-Up'!AA81</f>
        <v>-52.392245175677644</v>
      </c>
      <c r="AB17" s="17">
        <f>-'Build-Up'!AB81</f>
        <v>-55.984856273438403</v>
      </c>
      <c r="AC17" s="17">
        <f>-'Build-Up'!AC81</f>
        <v>-59.78104866673894</v>
      </c>
      <c r="AD17" s="17">
        <f>-'Build-Up'!AD81</f>
        <v>-63.79136068146601</v>
      </c>
      <c r="AE17" s="17">
        <f>-'Build-Up'!AE81</f>
        <v>-68.026847979504453</v>
      </c>
      <c r="AF17" s="17">
        <f>-'Build-Up'!AF81</f>
        <v>-72.499108084295642</v>
      </c>
      <c r="AG17" s="17">
        <f>-'Build-Up'!AG81</f>
        <v>-77.220306040702923</v>
      </c>
      <c r="AH17" s="17">
        <f>-'Build-Up'!AH81</f>
        <v>-82.203201260687905</v>
      </c>
    </row>
    <row r="18" spans="1:34" collapsed="1">
      <c r="A18" s="49"/>
      <c r="B18" s="53" t="s">
        <v>26</v>
      </c>
      <c r="C18" s="49" t="s">
        <v>16</v>
      </c>
      <c r="D18" s="19">
        <v>-17.928000000000001</v>
      </c>
      <c r="E18" s="19">
        <v>-64.103999999999999</v>
      </c>
      <c r="F18" s="51">
        <v>-23.212</v>
      </c>
      <c r="G18" s="51">
        <v>-23.766999999999999</v>
      </c>
      <c r="H18" s="51">
        <v>-25.957999999999998</v>
      </c>
      <c r="I18" s="51">
        <v>-33.875999999999998</v>
      </c>
      <c r="J18" s="24">
        <v>-106.81299999999999</v>
      </c>
      <c r="K18" s="51">
        <v>-27.870999999999999</v>
      </c>
      <c r="L18" s="51">
        <v>-36.014000000000003</v>
      </c>
      <c r="M18" s="51">
        <v>-27.184000000000001</v>
      </c>
      <c r="N18" s="51">
        <v>-35.904000000000003</v>
      </c>
      <c r="O18" s="21">
        <f>SUM(K18:N18)</f>
        <v>-126.97300000000001</v>
      </c>
      <c r="P18" s="51">
        <v>-34.979999999999997</v>
      </c>
      <c r="Q18" s="51">
        <v>-47.670999999999999</v>
      </c>
      <c r="R18" s="51">
        <v>-49.106999999999999</v>
      </c>
      <c r="S18" s="51">
        <v>-43.4</v>
      </c>
      <c r="T18" s="21">
        <f>SUM(P18:S18)</f>
        <v>-175.15799999999999</v>
      </c>
      <c r="U18" s="15">
        <v>-60.3</v>
      </c>
      <c r="V18" s="21">
        <f>-'Capex and D&amp;A'!V46</f>
        <v>-97.501234191279167</v>
      </c>
      <c r="W18" s="21">
        <f>-'Capex and D&amp;A'!W46</f>
        <v>-97.501234191279167</v>
      </c>
      <c r="X18" s="21">
        <f>-'Capex and D&amp;A'!X46</f>
        <v>-97.501234191279167</v>
      </c>
      <c r="Y18" s="21">
        <f>-'Capex and D&amp;A'!Y46</f>
        <v>-259.40370257383745</v>
      </c>
      <c r="Z18" s="21">
        <f>-'Capex and D&amp;A'!Z46</f>
        <v>-284.32588619428759</v>
      </c>
      <c r="AA18" s="21">
        <f>-'Capex and D&amp;A'!AA46</f>
        <v>-300.49189389622961</v>
      </c>
      <c r="AB18" s="21">
        <f>-'Capex and D&amp;A'!AB46</f>
        <v>-309.79916963696905</v>
      </c>
      <c r="AC18" s="21">
        <f>-'Capex and D&amp;A'!AC46</f>
        <v>-320.56551840746351</v>
      </c>
      <c r="AD18" s="21">
        <f>-'Capex and D&amp;A'!AD46</f>
        <v>-332.2232274488569</v>
      </c>
      <c r="AE18" s="21">
        <f>-'Capex and D&amp;A'!AE46</f>
        <v>-344.86395762882182</v>
      </c>
      <c r="AF18" s="21">
        <f>-'Capex and D&amp;A'!AF46</f>
        <v>-358.57969982770646</v>
      </c>
      <c r="AG18" s="21">
        <f>-'Capex and D&amp;A'!AG46</f>
        <v>-373.46404240154328</v>
      </c>
      <c r="AH18" s="21">
        <f>-'Capex and D&amp;A'!AH46</f>
        <v>-389.6133469227043</v>
      </c>
    </row>
    <row r="19" spans="1:34">
      <c r="B19" s="22" t="s">
        <v>36</v>
      </c>
      <c r="C19" t="s">
        <v>16</v>
      </c>
      <c r="D19" s="19">
        <v>0</v>
      </c>
      <c r="E19" s="19">
        <v>0</v>
      </c>
      <c r="F19" s="15">
        <v>0</v>
      </c>
      <c r="G19" s="15">
        <v>0</v>
      </c>
      <c r="H19" s="15">
        <v>6.2830000000000004</v>
      </c>
      <c r="I19" s="15">
        <v>-121.17700000000001</v>
      </c>
      <c r="J19" s="24">
        <v>-114.89400000000001</v>
      </c>
      <c r="K19" s="15">
        <v>-8.4169999999999998</v>
      </c>
      <c r="L19" s="15">
        <v>-195.434</v>
      </c>
      <c r="M19" s="15">
        <v>136.76400000000001</v>
      </c>
      <c r="N19" s="15">
        <v>-2.0739999999999998</v>
      </c>
      <c r="O19" s="21">
        <f>SUM(K19:N19)</f>
        <v>-69.160999999999987</v>
      </c>
      <c r="P19" s="15">
        <v>-5.2859999999999996</v>
      </c>
      <c r="Q19" s="15">
        <v>-5.2869999999999999</v>
      </c>
      <c r="R19" s="15">
        <v>-12.532912360000001</v>
      </c>
      <c r="S19" s="15">
        <v>-4.2</v>
      </c>
      <c r="T19" s="21">
        <f>SUM(P19:S19)</f>
        <v>-27.305912360000001</v>
      </c>
      <c r="U19" s="15">
        <v>-7.9</v>
      </c>
      <c r="V19" s="17">
        <f>'Build-Up'!V87</f>
        <v>0</v>
      </c>
      <c r="W19" s="17">
        <f>'Build-Up'!W87</f>
        <v>0</v>
      </c>
      <c r="X19" s="17">
        <f>'Build-Up'!X87</f>
        <v>0</v>
      </c>
      <c r="Y19" s="21">
        <f>'Build-Up'!Y87</f>
        <v>7.9</v>
      </c>
      <c r="Z19" s="17">
        <f>'Build-Up'!Z87</f>
        <v>0</v>
      </c>
      <c r="AA19" s="17">
        <f>'Build-Up'!AA87</f>
        <v>0</v>
      </c>
      <c r="AB19" s="17">
        <f>'Build-Up'!AB87</f>
        <v>0</v>
      </c>
      <c r="AC19" s="17">
        <f>'Build-Up'!AC87</f>
        <v>0</v>
      </c>
      <c r="AD19" s="17">
        <f>'Build-Up'!AD87</f>
        <v>0</v>
      </c>
      <c r="AE19" s="17">
        <f>'Build-Up'!AE87</f>
        <v>0</v>
      </c>
      <c r="AF19" s="17">
        <f>'Build-Up'!AF87</f>
        <v>0</v>
      </c>
      <c r="AG19" s="17">
        <f>'Build-Up'!AG87</f>
        <v>0</v>
      </c>
      <c r="AH19" s="17">
        <f>'Build-Up'!AH87</f>
        <v>0</v>
      </c>
    </row>
    <row r="20" spans="1:34" s="11" customFormat="1">
      <c r="B20" s="25" t="s">
        <v>27</v>
      </c>
      <c r="C20" s="25" t="s">
        <v>16</v>
      </c>
      <c r="D20" s="34">
        <f>D12+D14</f>
        <v>82.740000000000066</v>
      </c>
      <c r="E20" s="34">
        <f>E12+E13</f>
        <v>57.65100000000001</v>
      </c>
      <c r="F20" s="44">
        <f t="shared" ref="F20:U20" si="14">F12+F13</f>
        <v>5.6446001199999785</v>
      </c>
      <c r="G20" s="44">
        <f t="shared" si="14"/>
        <v>25.4530538082562</v>
      </c>
      <c r="H20" s="44">
        <f t="shared" si="14"/>
        <v>55.085645202288674</v>
      </c>
      <c r="I20" s="44">
        <f t="shared" si="14"/>
        <v>-66.567600223928594</v>
      </c>
      <c r="J20" s="34">
        <v>19.615698906616331</v>
      </c>
      <c r="K20" s="44">
        <f t="shared" si="14"/>
        <v>55.393414630000052</v>
      </c>
      <c r="L20" s="44">
        <f t="shared" si="14"/>
        <v>-147.65588557000001</v>
      </c>
      <c r="M20" s="44">
        <f t="shared" si="14"/>
        <v>196.36158114786704</v>
      </c>
      <c r="N20" s="44">
        <f t="shared" si="14"/>
        <v>73.150331858290599</v>
      </c>
      <c r="O20" s="34">
        <f t="shared" si="14"/>
        <v>177.24944206615748</v>
      </c>
      <c r="P20" s="44">
        <f t="shared" si="14"/>
        <v>72.571420189466181</v>
      </c>
      <c r="Q20" s="44">
        <f t="shared" si="14"/>
        <v>75.979663908521985</v>
      </c>
      <c r="R20" s="44">
        <f t="shared" si="14"/>
        <v>131.107605062012</v>
      </c>
      <c r="S20" s="44">
        <f t="shared" si="14"/>
        <v>190.89100000000002</v>
      </c>
      <c r="T20" s="34">
        <f t="shared" si="14"/>
        <v>470.54968916000053</v>
      </c>
      <c r="U20" s="44">
        <f t="shared" si="14"/>
        <v>208.75</v>
      </c>
      <c r="V20" s="26">
        <f>V12+V13</f>
        <v>94.91371606338447</v>
      </c>
      <c r="W20" s="26">
        <f t="shared" ref="W20:AH20" si="15">W12+W13</f>
        <v>182.57831364873925</v>
      </c>
      <c r="X20" s="26">
        <f t="shared" si="15"/>
        <v>152.3763551064319</v>
      </c>
      <c r="Y20" s="432">
        <f t="shared" si="15"/>
        <v>747.81838481855402</v>
      </c>
      <c r="Z20" s="26">
        <f t="shared" si="15"/>
        <v>876.7657049470472</v>
      </c>
      <c r="AA20" s="26">
        <f t="shared" si="15"/>
        <v>1086.3682713864287</v>
      </c>
      <c r="AB20" s="26">
        <f t="shared" si="15"/>
        <v>1256.5415754611624</v>
      </c>
      <c r="AC20" s="26">
        <f t="shared" si="15"/>
        <v>1444.9959953059215</v>
      </c>
      <c r="AD20" s="26">
        <f t="shared" si="15"/>
        <v>1654.2236665641612</v>
      </c>
      <c r="AE20" s="26">
        <f t="shared" si="15"/>
        <v>1886.2310827889596</v>
      </c>
      <c r="AF20" s="26">
        <f t="shared" si="15"/>
        <v>2143.2130582179625</v>
      </c>
      <c r="AG20" s="26">
        <f t="shared" si="15"/>
        <v>2427.5676180338501</v>
      </c>
      <c r="AH20" s="26">
        <f t="shared" si="15"/>
        <v>2741.9123193172718</v>
      </c>
    </row>
    <row r="21" spans="1:34">
      <c r="B21" s="12" t="s">
        <v>28</v>
      </c>
      <c r="C21" t="s">
        <v>16</v>
      </c>
      <c r="D21" s="24">
        <f>-D18</f>
        <v>17.928000000000001</v>
      </c>
      <c r="E21" s="24">
        <f>-E18</f>
        <v>64.103999999999999</v>
      </c>
      <c r="F21" s="17">
        <f>-F18</f>
        <v>23.212</v>
      </c>
      <c r="G21" s="17">
        <f t="shared" ref="G21:T21" si="16">-G18</f>
        <v>23.766999999999999</v>
      </c>
      <c r="H21" s="17">
        <f t="shared" si="16"/>
        <v>25.957999999999998</v>
      </c>
      <c r="I21" s="17">
        <f t="shared" si="16"/>
        <v>33.875999999999998</v>
      </c>
      <c r="J21" s="21">
        <v>106.81299999999999</v>
      </c>
      <c r="K21" s="17">
        <f t="shared" si="16"/>
        <v>27.870999999999999</v>
      </c>
      <c r="L21" s="17">
        <f t="shared" si="16"/>
        <v>36.014000000000003</v>
      </c>
      <c r="M21" s="17">
        <f t="shared" si="16"/>
        <v>27.184000000000001</v>
      </c>
      <c r="N21" s="17">
        <f t="shared" si="16"/>
        <v>35.904000000000003</v>
      </c>
      <c r="O21" s="21">
        <f t="shared" si="16"/>
        <v>126.97300000000001</v>
      </c>
      <c r="P21" s="17">
        <f t="shared" si="16"/>
        <v>34.979999999999997</v>
      </c>
      <c r="Q21" s="17">
        <f t="shared" si="16"/>
        <v>47.670999999999999</v>
      </c>
      <c r="R21" s="17">
        <f t="shared" si="16"/>
        <v>49.106999999999999</v>
      </c>
      <c r="S21" s="17">
        <f t="shared" si="16"/>
        <v>43.4</v>
      </c>
      <c r="T21" s="21">
        <f t="shared" si="16"/>
        <v>175.15799999999999</v>
      </c>
      <c r="U21" s="17">
        <v>60.3</v>
      </c>
      <c r="V21" s="17">
        <f>'Capex and D&amp;A'!V46</f>
        <v>97.501234191279167</v>
      </c>
      <c r="W21" s="17">
        <f>'Capex and D&amp;A'!W46</f>
        <v>97.501234191279167</v>
      </c>
      <c r="X21" s="17">
        <f>'Capex and D&amp;A'!X46</f>
        <v>97.501234191279167</v>
      </c>
      <c r="Y21" s="21">
        <f>'Capex and D&amp;A'!Y46</f>
        <v>259.40370257383745</v>
      </c>
      <c r="Z21" s="17">
        <f>'Capex and D&amp;A'!Z46</f>
        <v>284.32588619428759</v>
      </c>
      <c r="AA21" s="17">
        <f>'Capex and D&amp;A'!AA46</f>
        <v>300.49189389622961</v>
      </c>
      <c r="AB21" s="17">
        <f>'Capex and D&amp;A'!AB46</f>
        <v>309.79916963696905</v>
      </c>
      <c r="AC21" s="17">
        <f>'Capex and D&amp;A'!AC46</f>
        <v>320.56551840746351</v>
      </c>
      <c r="AD21" s="17">
        <f>'Capex and D&amp;A'!AD46</f>
        <v>332.2232274488569</v>
      </c>
      <c r="AE21" s="17">
        <f>'Capex and D&amp;A'!AE46</f>
        <v>344.86395762882182</v>
      </c>
      <c r="AF21" s="17">
        <f>'Capex and D&amp;A'!AF46</f>
        <v>358.57969982770646</v>
      </c>
      <c r="AG21" s="17">
        <f>'Capex and D&amp;A'!AG46</f>
        <v>373.46404240154328</v>
      </c>
      <c r="AH21" s="17">
        <f>'Capex and D&amp;A'!AH46</f>
        <v>389.6133469227043</v>
      </c>
    </row>
    <row r="22" spans="1:34" s="38" customFormat="1">
      <c r="A22"/>
      <c r="B22" s="65" t="s">
        <v>29</v>
      </c>
      <c r="C22" s="38" t="s">
        <v>16</v>
      </c>
      <c r="D22" s="66">
        <f>D21+D20</f>
        <v>100.66800000000006</v>
      </c>
      <c r="E22" s="66">
        <f>E21+E20</f>
        <v>121.75500000000001</v>
      </c>
      <c r="F22" s="67">
        <f>SUM(F20:F21)</f>
        <v>28.856600119999978</v>
      </c>
      <c r="G22" s="67">
        <f t="shared" ref="G22:U22" si="17">SUM(G20:G21)</f>
        <v>49.220053808256196</v>
      </c>
      <c r="H22" s="67">
        <f t="shared" si="17"/>
        <v>81.043645202288673</v>
      </c>
      <c r="I22" s="67">
        <f t="shared" si="17"/>
        <v>-32.691600223928596</v>
      </c>
      <c r="J22" s="68">
        <v>126.42869890661632</v>
      </c>
      <c r="K22" s="67">
        <f t="shared" si="17"/>
        <v>83.264414630000047</v>
      </c>
      <c r="L22" s="67">
        <f t="shared" si="17"/>
        <v>-111.64188557</v>
      </c>
      <c r="M22" s="67">
        <f t="shared" si="17"/>
        <v>223.54558114786704</v>
      </c>
      <c r="N22" s="67">
        <f t="shared" si="17"/>
        <v>109.0543318582906</v>
      </c>
      <c r="O22" s="68">
        <f t="shared" si="17"/>
        <v>304.2224420661575</v>
      </c>
      <c r="P22" s="67">
        <f t="shared" si="17"/>
        <v>107.55142018946617</v>
      </c>
      <c r="Q22" s="67">
        <f t="shared" si="17"/>
        <v>123.65066390852198</v>
      </c>
      <c r="R22" s="67">
        <f t="shared" si="17"/>
        <v>180.214605062012</v>
      </c>
      <c r="S22" s="67">
        <f t="shared" si="17"/>
        <v>234.29100000000003</v>
      </c>
      <c r="T22" s="68">
        <f t="shared" si="17"/>
        <v>645.70768916000054</v>
      </c>
      <c r="U22" s="67">
        <f t="shared" si="17"/>
        <v>269.05</v>
      </c>
      <c r="V22" s="67">
        <f>V20+V21</f>
        <v>192.41495025466364</v>
      </c>
      <c r="W22" s="67">
        <f t="shared" ref="W22:AH22" si="18">W20+W21</f>
        <v>280.07954784001845</v>
      </c>
      <c r="X22" s="67">
        <f t="shared" si="18"/>
        <v>249.87758929771107</v>
      </c>
      <c r="Y22" s="68">
        <f t="shared" si="18"/>
        <v>1007.2220873923915</v>
      </c>
      <c r="Z22" s="67">
        <f t="shared" si="18"/>
        <v>1161.0915911413349</v>
      </c>
      <c r="AA22" s="67">
        <f t="shared" si="18"/>
        <v>1386.8601652826583</v>
      </c>
      <c r="AB22" s="67">
        <f t="shared" si="18"/>
        <v>1566.3407450981315</v>
      </c>
      <c r="AC22" s="67">
        <f t="shared" si="18"/>
        <v>1765.561513713385</v>
      </c>
      <c r="AD22" s="67">
        <f t="shared" si="18"/>
        <v>1986.4468940130182</v>
      </c>
      <c r="AE22" s="67">
        <f t="shared" si="18"/>
        <v>2231.0950404177815</v>
      </c>
      <c r="AF22" s="67">
        <f t="shared" si="18"/>
        <v>2501.792758045669</v>
      </c>
      <c r="AG22" s="67">
        <f t="shared" si="18"/>
        <v>2801.0316604353934</v>
      </c>
      <c r="AH22" s="67">
        <f t="shared" si="18"/>
        <v>3131.5256662399761</v>
      </c>
    </row>
    <row r="23" spans="1:34">
      <c r="B23" s="28" t="s">
        <v>30</v>
      </c>
      <c r="C23" t="s">
        <v>16</v>
      </c>
      <c r="D23" s="24">
        <f>D24+D27</f>
        <v>-28.971</v>
      </c>
      <c r="E23" s="24">
        <f>E24+E27</f>
        <v>-41.386000000000003</v>
      </c>
      <c r="F23" s="17">
        <f>SUM(F24,F27)</f>
        <v>-14.491</v>
      </c>
      <c r="G23" s="17">
        <f>SUM(G24,G27)</f>
        <v>-15.131999999999998</v>
      </c>
      <c r="H23" s="17">
        <f>SUM(H24,H27)</f>
        <v>-14.949</v>
      </c>
      <c r="I23" s="17">
        <f t="shared" ref="I23" si="19">SUM(I24,I27)</f>
        <v>-28.298999999999999</v>
      </c>
      <c r="J23" s="21">
        <v>-72.870999999999995</v>
      </c>
      <c r="K23" s="17">
        <f>SUM(K24,K27)</f>
        <v>-27.650000000000006</v>
      </c>
      <c r="L23" s="17">
        <f>SUM(L24,L27)</f>
        <v>-36.133000000000003</v>
      </c>
      <c r="M23" s="17">
        <f>SUM(M24,M27)</f>
        <v>-28.589000000000002</v>
      </c>
      <c r="N23" s="17">
        <f>O23-SUM(K23:M23)</f>
        <v>-22.505999999999986</v>
      </c>
      <c r="O23" s="21">
        <f>SUM(O24,O27)</f>
        <v>-114.878</v>
      </c>
      <c r="P23" s="17">
        <f>SUM(P24,P27)</f>
        <v>-56.561</v>
      </c>
      <c r="Q23" s="17">
        <f>SUM(Q24,Q27)</f>
        <v>-70.469000000000008</v>
      </c>
      <c r="R23" s="17">
        <f>SUM(R24,R27)</f>
        <v>-96.216000000000008</v>
      </c>
      <c r="S23" s="17">
        <f>T23-SUM(P23:R23)</f>
        <v>-125.77899999999997</v>
      </c>
      <c r="T23" s="21">
        <f>SUM(T24,T27)</f>
        <v>-349.02499999999998</v>
      </c>
      <c r="U23" s="15">
        <v>-133.80000000000001</v>
      </c>
      <c r="V23" s="17">
        <f ca="1">V24+V27</f>
        <v>-91.715860770034539</v>
      </c>
      <c r="W23" s="17">
        <f t="shared" ref="W23:AH23" ca="1" si="20">W24+W27</f>
        <v>-91.715860770034539</v>
      </c>
      <c r="X23" s="17">
        <f t="shared" ca="1" si="20"/>
        <v>-91.715860770034539</v>
      </c>
      <c r="Y23" s="21">
        <f t="shared" ca="1" si="20"/>
        <v>-408.95058231010364</v>
      </c>
      <c r="Z23" s="17">
        <f t="shared" ca="1" si="20"/>
        <v>-342.30241987997869</v>
      </c>
      <c r="AA23" s="17">
        <f t="shared" ca="1" si="20"/>
        <v>-305.64287137641793</v>
      </c>
      <c r="AB23" s="17">
        <f t="shared" ca="1" si="20"/>
        <v>-278.53969778801206</v>
      </c>
      <c r="AC23" s="17">
        <f t="shared" ca="1" si="20"/>
        <v>-245.71540770802946</v>
      </c>
      <c r="AD23" s="17">
        <f t="shared" ca="1" si="20"/>
        <v>-186.83144809362605</v>
      </c>
      <c r="AE23" s="17">
        <f t="shared" ca="1" si="20"/>
        <v>-113.72375154629367</v>
      </c>
      <c r="AF23" s="17">
        <f t="shared" ca="1" si="20"/>
        <v>-24.412945698393116</v>
      </c>
      <c r="AG23" s="17">
        <f t="shared" ca="1" si="20"/>
        <v>83.37486866084987</v>
      </c>
      <c r="AH23" s="17">
        <f t="shared" ca="1" si="20"/>
        <v>218.03830728866683</v>
      </c>
    </row>
    <row r="24" spans="1:34">
      <c r="B24" s="12" t="s">
        <v>31</v>
      </c>
      <c r="C24" t="s">
        <v>16</v>
      </c>
      <c r="D24" s="19">
        <v>-38.396000000000001</v>
      </c>
      <c r="E24" s="19">
        <v>-54.06</v>
      </c>
      <c r="F24" s="15">
        <v>-18.532</v>
      </c>
      <c r="G24" s="15">
        <v>-18.428999999999998</v>
      </c>
      <c r="H24" s="15">
        <v>-22.753</v>
      </c>
      <c r="I24" s="17">
        <f>J24-SUM(F24:H24)</f>
        <v>-35.088999999999999</v>
      </c>
      <c r="J24" s="19">
        <v>-94.802999999999997</v>
      </c>
      <c r="K24" s="15">
        <v>-37.459000000000003</v>
      </c>
      <c r="L24" s="15">
        <v>-44.563000000000002</v>
      </c>
      <c r="M24" s="15">
        <v>-46.707000000000001</v>
      </c>
      <c r="N24" s="17">
        <f t="shared" ref="N24:N27" si="21">O24-SUM(K24:M24)</f>
        <v>-52.807999999999993</v>
      </c>
      <c r="O24" s="19">
        <v>-181.53700000000001</v>
      </c>
      <c r="P24" s="15">
        <v>-98.072000000000003</v>
      </c>
      <c r="Q24" s="15">
        <v>-115.42700000000001</v>
      </c>
      <c r="R24" s="15">
        <v>-121.119</v>
      </c>
      <c r="S24" s="17">
        <f t="shared" ref="S24:S27" si="22">T24-SUM(P24:R24)</f>
        <v>-155.48799999999994</v>
      </c>
      <c r="T24" s="19">
        <v>-490.10599999999999</v>
      </c>
      <c r="U24" s="17">
        <v>-175.739</v>
      </c>
      <c r="V24" s="17">
        <f>-'Debt and Acquisition Schedule'!F12</f>
        <v>-115.80198333333333</v>
      </c>
      <c r="W24" s="17">
        <f>-'Debt and Acquisition Schedule'!G12</f>
        <v>-115.80198333333333</v>
      </c>
      <c r="X24" s="17">
        <f>-'Debt and Acquisition Schedule'!H12</f>
        <v>-115.80198333333333</v>
      </c>
      <c r="Y24" s="21">
        <f>-'Debt and Acquisition Schedule'!I12</f>
        <v>-523.14494999999999</v>
      </c>
      <c r="Z24" s="17">
        <f>-'Debt and Acquisition Schedule'!J12</f>
        <v>-435.95412499999998</v>
      </c>
      <c r="AA24" s="17">
        <f>-'Debt and Acquisition Schedule'!K12</f>
        <v>-401.07779499999992</v>
      </c>
      <c r="AB24" s="17">
        <f>-'Debt and Acquisition Schedule'!L12</f>
        <v>-401.07779499999992</v>
      </c>
      <c r="AC24" s="17">
        <f>-'Debt and Acquisition Schedule'!M12</f>
        <v>-401.07779499999992</v>
      </c>
      <c r="AD24" s="17">
        <f>-'Debt and Acquisition Schedule'!N12</f>
        <v>-401.07779499999992</v>
      </c>
      <c r="AE24" s="17">
        <f>-'Debt and Acquisition Schedule'!O12</f>
        <v>-401.07779499999992</v>
      </c>
      <c r="AF24" s="17">
        <f>-'Debt and Acquisition Schedule'!P12</f>
        <v>-401.07779499999992</v>
      </c>
      <c r="AG24" s="17">
        <f>-'Debt and Acquisition Schedule'!Q12</f>
        <v>-401.07779499999992</v>
      </c>
      <c r="AH24" s="17">
        <f>-'Debt and Acquisition Schedule'!R12</f>
        <v>-401.07779499999992</v>
      </c>
    </row>
    <row r="25" spans="1:34" hidden="1" outlineLevel="1">
      <c r="B25" s="22" t="s">
        <v>32</v>
      </c>
      <c r="C25" t="s">
        <v>16</v>
      </c>
      <c r="D25" s="19">
        <f>-5.79-16.172</f>
        <v>-21.962</v>
      </c>
      <c r="E25" s="19">
        <f>-4.402-23.993</f>
        <v>-28.395</v>
      </c>
      <c r="F25" s="15">
        <f>-5.821-4.651</f>
        <v>-10.472</v>
      </c>
      <c r="G25" s="15">
        <f>-6.051-3.738</f>
        <v>-9.7889999999999997</v>
      </c>
      <c r="H25" s="15">
        <f>-7.762-3.147</f>
        <v>-10.908999999999999</v>
      </c>
      <c r="I25" s="17">
        <f t="shared" ref="I25:I27" si="23">J25-SUM(F25:H25)</f>
        <v>-24.765000000000004</v>
      </c>
      <c r="J25" s="19">
        <v>-55.935000000000002</v>
      </c>
      <c r="K25" s="15">
        <v>-19.995999999999999</v>
      </c>
      <c r="L25" s="15">
        <v>-23.516999999999999</v>
      </c>
      <c r="M25" s="15">
        <v>-28.867000000000001</v>
      </c>
      <c r="N25" s="17">
        <f t="shared" si="21"/>
        <v>-38.209000000000017</v>
      </c>
      <c r="O25" s="19">
        <f>-108.049-2.54</f>
        <v>-110.58900000000001</v>
      </c>
      <c r="P25" s="15">
        <f>-37.86-30.149</f>
        <v>-68.009</v>
      </c>
      <c r="Q25" s="15">
        <f>-40.471-35.399</f>
        <v>-75.87</v>
      </c>
      <c r="R25" s="15">
        <f>-44.942-42.655</f>
        <v>-87.597000000000008</v>
      </c>
      <c r="S25" s="17">
        <f t="shared" si="22"/>
        <v>-103.66599999999997</v>
      </c>
      <c r="T25" s="19">
        <f>-180.543-154.599</f>
        <v>-335.142</v>
      </c>
      <c r="U25" s="17">
        <f>-48.865-67.428</f>
        <v>-116.29300000000001</v>
      </c>
      <c r="V25" s="17"/>
      <c r="W25" s="17"/>
      <c r="X25" s="17"/>
      <c r="Y25" s="21">
        <f t="shared" ref="Y25:Y26" si="24">SUM(U25:X25)</f>
        <v>-116.29300000000001</v>
      </c>
      <c r="Z25" s="17"/>
      <c r="AA25" s="17"/>
      <c r="AB25" s="17"/>
      <c r="AC25" s="17"/>
      <c r="AD25" s="17"/>
      <c r="AE25" s="17"/>
      <c r="AF25" s="17"/>
      <c r="AG25" s="17"/>
      <c r="AH25" s="17"/>
    </row>
    <row r="26" spans="1:34" hidden="1" outlineLevel="1">
      <c r="B26" s="22" t="s">
        <v>22</v>
      </c>
      <c r="C26" t="s">
        <v>16</v>
      </c>
      <c r="D26" s="24">
        <f>D24-D25</f>
        <v>-16.434000000000001</v>
      </c>
      <c r="E26" s="24">
        <f>E24-E25</f>
        <v>-25.665000000000003</v>
      </c>
      <c r="F26" s="17">
        <f>F24-F25</f>
        <v>-8.06</v>
      </c>
      <c r="G26" s="17">
        <f>G24-G25</f>
        <v>-8.6399999999999988</v>
      </c>
      <c r="H26" s="17">
        <f>H24-H25</f>
        <v>-11.844000000000001</v>
      </c>
      <c r="I26" s="17">
        <f t="shared" si="23"/>
        <v>-10.323999999999995</v>
      </c>
      <c r="J26" s="21">
        <v>-38.867999999999995</v>
      </c>
      <c r="K26" s="17">
        <f>K24-K25</f>
        <v>-17.463000000000005</v>
      </c>
      <c r="L26" s="17">
        <f>L24-L25</f>
        <v>-21.046000000000003</v>
      </c>
      <c r="M26" s="17">
        <f>M24-M25</f>
        <v>-17.84</v>
      </c>
      <c r="N26" s="17">
        <f t="shared" si="21"/>
        <v>-14.59899999999999</v>
      </c>
      <c r="O26" s="21">
        <f>O24-O25</f>
        <v>-70.947999999999993</v>
      </c>
      <c r="P26" s="17">
        <f>P24-P25</f>
        <v>-30.063000000000002</v>
      </c>
      <c r="Q26" s="17">
        <f>Q24-Q25</f>
        <v>-39.557000000000002</v>
      </c>
      <c r="R26" s="17">
        <f>R24-R25</f>
        <v>-33.521999999999991</v>
      </c>
      <c r="S26" s="17">
        <f t="shared" si="22"/>
        <v>-51.822000000000003</v>
      </c>
      <c r="T26" s="21">
        <f>T24-T25</f>
        <v>-154.964</v>
      </c>
      <c r="U26" s="17">
        <f>U24-U25</f>
        <v>-59.445999999999998</v>
      </c>
      <c r="V26" s="17"/>
      <c r="W26" s="17"/>
      <c r="X26" s="17"/>
      <c r="Y26" s="21">
        <f t="shared" si="24"/>
        <v>-59.445999999999998</v>
      </c>
      <c r="Z26" s="17"/>
      <c r="AA26" s="17"/>
      <c r="AB26" s="17"/>
      <c r="AC26" s="17"/>
      <c r="AD26" s="17"/>
      <c r="AE26" s="17"/>
      <c r="AF26" s="17"/>
      <c r="AG26" s="17"/>
      <c r="AH26" s="17"/>
    </row>
    <row r="27" spans="1:34" collapsed="1">
      <c r="B27" s="12" t="s">
        <v>33</v>
      </c>
      <c r="C27" t="s">
        <v>16</v>
      </c>
      <c r="D27" s="19">
        <v>9.4250000000000007</v>
      </c>
      <c r="E27" s="19">
        <v>12.673999999999999</v>
      </c>
      <c r="F27" s="15">
        <v>4.0410000000000004</v>
      </c>
      <c r="G27" s="15">
        <v>3.2970000000000002</v>
      </c>
      <c r="H27" s="15">
        <v>7.8040000000000003</v>
      </c>
      <c r="I27" s="17">
        <f t="shared" si="23"/>
        <v>6.7899999999999974</v>
      </c>
      <c r="J27" s="19">
        <v>21.931999999999999</v>
      </c>
      <c r="K27" s="15">
        <v>9.8089999999999993</v>
      </c>
      <c r="L27" s="15">
        <v>8.43</v>
      </c>
      <c r="M27" s="15">
        <v>18.117999999999999</v>
      </c>
      <c r="N27" s="17">
        <f t="shared" si="21"/>
        <v>30.302000000000007</v>
      </c>
      <c r="O27" s="19">
        <v>66.659000000000006</v>
      </c>
      <c r="P27" s="15">
        <v>41.511000000000003</v>
      </c>
      <c r="Q27" s="15">
        <v>44.957999999999998</v>
      </c>
      <c r="R27" s="15">
        <v>24.902999999999999</v>
      </c>
      <c r="S27" s="17">
        <f t="shared" si="22"/>
        <v>29.709000000000003</v>
      </c>
      <c r="T27" s="19">
        <v>141.08099999999999</v>
      </c>
      <c r="U27" s="17">
        <v>41.936</v>
      </c>
      <c r="V27" s="17">
        <f ca="1">'Debt and Acquisition Schedule'!F14</f>
        <v>24.08612256329879</v>
      </c>
      <c r="W27" s="17">
        <f ca="1">'Debt and Acquisition Schedule'!G14</f>
        <v>24.08612256329879</v>
      </c>
      <c r="X27" s="17">
        <f ca="1">'Debt and Acquisition Schedule'!H14</f>
        <v>24.08612256329879</v>
      </c>
      <c r="Y27" s="21">
        <f ca="1">'Debt and Acquisition Schedule'!I14</f>
        <v>114.19436768989638</v>
      </c>
      <c r="Z27" s="17">
        <f ca="1">'Debt and Acquisition Schedule'!J14</f>
        <v>93.651705120021305</v>
      </c>
      <c r="AA27" s="17">
        <f ca="1">'Debt and Acquisition Schedule'!K14</f>
        <v>95.43492362358198</v>
      </c>
      <c r="AB27" s="17">
        <f ca="1">'Debt and Acquisition Schedule'!L14</f>
        <v>122.53809721198787</v>
      </c>
      <c r="AC27" s="17">
        <f ca="1">'Debt and Acquisition Schedule'!M14</f>
        <v>155.36238729197046</v>
      </c>
      <c r="AD27" s="17">
        <f ca="1">'Debt and Acquisition Schedule'!N14</f>
        <v>214.24634690637387</v>
      </c>
      <c r="AE27" s="17">
        <f ca="1">'Debt and Acquisition Schedule'!O14</f>
        <v>287.35404345370625</v>
      </c>
      <c r="AF27" s="17">
        <f ca="1">'Debt and Acquisition Schedule'!P14</f>
        <v>376.66484930160686</v>
      </c>
      <c r="AG27" s="17">
        <f ca="1">'Debt and Acquisition Schedule'!Q14</f>
        <v>484.45266366084979</v>
      </c>
      <c r="AH27" s="17">
        <f ca="1">'Debt and Acquisition Schedule'!R14</f>
        <v>619.11610228866675</v>
      </c>
    </row>
    <row r="28" spans="1:34" s="11" customFormat="1">
      <c r="B28" s="11" t="s">
        <v>34</v>
      </c>
      <c r="C28" s="11" t="s">
        <v>16</v>
      </c>
      <c r="D28" s="35">
        <f t="shared" ref="D28:U28" si="25">D20+D23</f>
        <v>53.769000000000062</v>
      </c>
      <c r="E28" s="35">
        <f t="shared" si="25"/>
        <v>16.265000000000008</v>
      </c>
      <c r="F28" s="16">
        <f t="shared" si="25"/>
        <v>-8.8463998800000212</v>
      </c>
      <c r="G28" s="16">
        <f t="shared" si="25"/>
        <v>10.321053808256202</v>
      </c>
      <c r="H28" s="16">
        <f t="shared" si="25"/>
        <v>40.136645202288676</v>
      </c>
      <c r="I28" s="16">
        <f t="shared" si="25"/>
        <v>-94.8666002239286</v>
      </c>
      <c r="J28" s="20">
        <v>-53.255301093383665</v>
      </c>
      <c r="K28" s="16">
        <f t="shared" si="25"/>
        <v>27.743414630000046</v>
      </c>
      <c r="L28" s="16">
        <f t="shared" si="25"/>
        <v>-183.78888557000002</v>
      </c>
      <c r="M28" s="16">
        <f t="shared" si="25"/>
        <v>167.77258114786704</v>
      </c>
      <c r="N28" s="16">
        <f t="shared" si="25"/>
        <v>50.644331858290613</v>
      </c>
      <c r="O28" s="20">
        <f t="shared" si="25"/>
        <v>62.371442066157485</v>
      </c>
      <c r="P28" s="16">
        <f t="shared" si="25"/>
        <v>16.010420189466181</v>
      </c>
      <c r="Q28" s="16">
        <f t="shared" si="25"/>
        <v>5.5106639085219769</v>
      </c>
      <c r="R28" s="16">
        <f t="shared" si="25"/>
        <v>34.89160506201199</v>
      </c>
      <c r="S28" s="16">
        <f t="shared" si="25"/>
        <v>65.112000000000052</v>
      </c>
      <c r="T28" s="20">
        <f t="shared" si="25"/>
        <v>121.52468916000055</v>
      </c>
      <c r="U28" s="16">
        <f t="shared" si="25"/>
        <v>74.949999999999989</v>
      </c>
      <c r="V28" s="16">
        <f ca="1">V20+V23</f>
        <v>3.1978552933499316</v>
      </c>
      <c r="W28" s="16">
        <f t="shared" ref="W28:AH28" ca="1" si="26">W20+W23</f>
        <v>90.862452878704715</v>
      </c>
      <c r="X28" s="16">
        <f t="shared" ca="1" si="26"/>
        <v>60.660494336397363</v>
      </c>
      <c r="Y28" s="20">
        <f ca="1">SUM(U28:X28)</f>
        <v>229.670802508452</v>
      </c>
      <c r="Z28" s="16">
        <f t="shared" ca="1" si="26"/>
        <v>534.46328506706845</v>
      </c>
      <c r="AA28" s="16">
        <f t="shared" ca="1" si="26"/>
        <v>780.72540001001073</v>
      </c>
      <c r="AB28" s="16">
        <f t="shared" ca="1" si="26"/>
        <v>978.00187767315037</v>
      </c>
      <c r="AC28" s="16">
        <f t="shared" ca="1" si="26"/>
        <v>1199.280587597892</v>
      </c>
      <c r="AD28" s="16">
        <f t="shared" ca="1" si="26"/>
        <v>1467.3922184705352</v>
      </c>
      <c r="AE28" s="16">
        <f t="shared" ca="1" si="26"/>
        <v>1772.5073312426659</v>
      </c>
      <c r="AF28" s="16">
        <f t="shared" ca="1" si="26"/>
        <v>2118.8001125195692</v>
      </c>
      <c r="AG28" s="16">
        <f t="shared" ca="1" si="26"/>
        <v>2510.9424866947002</v>
      </c>
      <c r="AH28" s="16">
        <f t="shared" ca="1" si="26"/>
        <v>2959.9506266059389</v>
      </c>
    </row>
    <row r="29" spans="1:34" s="11" customFormat="1">
      <c r="B29" t="s">
        <v>37</v>
      </c>
      <c r="C29" t="s">
        <v>16</v>
      </c>
      <c r="D29" s="35">
        <f>SUM(D30:D31)</f>
        <v>-37.512</v>
      </c>
      <c r="E29" s="35">
        <f>SUM(E30:E31)</f>
        <v>-61.273000000000003</v>
      </c>
      <c r="F29" s="16">
        <f t="shared" ref="F29:R29" si="27">SUM(F30:F31)</f>
        <v>-11.400000000000016</v>
      </c>
      <c r="G29" s="16">
        <f t="shared" si="27"/>
        <v>-14.000000000000002</v>
      </c>
      <c r="H29" s="16">
        <f t="shared" si="27"/>
        <v>-17.8</v>
      </c>
      <c r="I29" s="16">
        <f t="shared" si="27"/>
        <v>-24.799999999999997</v>
      </c>
      <c r="J29" s="20">
        <v>-68</v>
      </c>
      <c r="K29" s="16">
        <f t="shared" si="27"/>
        <v>-21.200000000000003</v>
      </c>
      <c r="L29" s="16">
        <f t="shared" si="27"/>
        <v>-18.8</v>
      </c>
      <c r="M29" s="16">
        <f t="shared" si="27"/>
        <v>-17</v>
      </c>
      <c r="N29" s="16">
        <f t="shared" si="27"/>
        <v>-27.799999999999997</v>
      </c>
      <c r="O29" s="20">
        <f t="shared" si="27"/>
        <v>-84.800000000000011</v>
      </c>
      <c r="P29" s="16">
        <f t="shared" si="27"/>
        <v>-31.6</v>
      </c>
      <c r="Q29" s="16">
        <f t="shared" si="27"/>
        <v>-30.1</v>
      </c>
      <c r="R29" s="16">
        <f t="shared" si="27"/>
        <v>22.1</v>
      </c>
      <c r="S29" s="16">
        <f>SUM(S30:S31)</f>
        <v>31.800000000000004</v>
      </c>
      <c r="T29" s="20">
        <f>SUM(T30:T31)</f>
        <v>-7.7999999999999972</v>
      </c>
      <c r="U29" s="16">
        <v>-33.72</v>
      </c>
      <c r="V29" s="16">
        <f ca="1">'Build-Up'!V94</f>
        <v>-1.0872707997389768</v>
      </c>
      <c r="W29" s="16">
        <f ca="1">'Build-Up'!W94</f>
        <v>-30.893233978759607</v>
      </c>
      <c r="X29" s="16">
        <f ca="1">'Build-Up'!X94</f>
        <v>-20.624568074375105</v>
      </c>
      <c r="Y29" s="20">
        <f ca="1">'Build-Up'!Y94</f>
        <v>-86.325072852873689</v>
      </c>
      <c r="Z29" s="16">
        <f ca="1">'Build-Up'!Z94</f>
        <v>-181.7175169228033</v>
      </c>
      <c r="AA29" s="16">
        <f ca="1">'Build-Up'!AA94</f>
        <v>-265.44663600340368</v>
      </c>
      <c r="AB29" s="16">
        <f ca="1">'Build-Up'!AB94</f>
        <v>-332.52063840887115</v>
      </c>
      <c r="AC29" s="16">
        <f ca="1">'Build-Up'!AC94</f>
        <v>-407.75539978328334</v>
      </c>
      <c r="AD29" s="16">
        <f ca="1">'Build-Up'!AD94</f>
        <v>-498.913354279982</v>
      </c>
      <c r="AE29" s="16">
        <f ca="1">'Build-Up'!AE94</f>
        <v>-602.65249262250643</v>
      </c>
      <c r="AF29" s="16">
        <f ca="1">'Build-Up'!AF94</f>
        <v>-720.39203825665356</v>
      </c>
      <c r="AG29" s="16">
        <f ca="1">'Build-Up'!AG94</f>
        <v>-853.72044547619817</v>
      </c>
      <c r="AH29" s="16">
        <f ca="1">'Build-Up'!AH94</f>
        <v>-1006.3832130460193</v>
      </c>
    </row>
    <row r="30" spans="1:34" hidden="1" outlineLevel="1">
      <c r="B30" s="12" t="s">
        <v>38</v>
      </c>
      <c r="C30" t="s">
        <v>16</v>
      </c>
      <c r="D30" s="19">
        <v>-45.558999999999997</v>
      </c>
      <c r="E30" s="19">
        <v>-58.264000000000003</v>
      </c>
      <c r="F30" s="23">
        <f>J30-SUM(G30:I30)</f>
        <v>-17.200000000000017</v>
      </c>
      <c r="G30" s="15">
        <v>-17.100000000000001</v>
      </c>
      <c r="H30" s="15">
        <v>-17.7</v>
      </c>
      <c r="I30" s="15">
        <v>-29.4</v>
      </c>
      <c r="J30" s="57">
        <v>-81.400000000000006</v>
      </c>
      <c r="K30" s="15">
        <v>-25.6</v>
      </c>
      <c r="L30" s="15">
        <v>-17.600000000000001</v>
      </c>
      <c r="M30" s="15">
        <v>-19.5</v>
      </c>
      <c r="N30" s="15">
        <v>-21.7</v>
      </c>
      <c r="O30" s="24">
        <f>SUM(K30:N30)</f>
        <v>-84.4</v>
      </c>
      <c r="P30" s="15">
        <v>-27.3</v>
      </c>
      <c r="Q30" s="15">
        <v>-30.3</v>
      </c>
      <c r="R30" s="15">
        <v>-41.3</v>
      </c>
      <c r="S30" s="15">
        <v>-34.1</v>
      </c>
      <c r="T30" s="24">
        <f>SUM(P30:S30)</f>
        <v>-133</v>
      </c>
      <c r="U30" s="17">
        <v>-46.548999999999999</v>
      </c>
      <c r="V30" s="13"/>
      <c r="W30" s="13"/>
      <c r="X30" s="13"/>
      <c r="Y30" s="433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1:34" hidden="1" outlineLevel="1">
      <c r="B31" s="12" t="s">
        <v>39</v>
      </c>
      <c r="C31" t="s">
        <v>16</v>
      </c>
      <c r="D31" s="19">
        <v>8.0470000000000006</v>
      </c>
      <c r="E31" s="19">
        <v>-3.0089999999999999</v>
      </c>
      <c r="F31" s="23">
        <f>J31-SUM(G31:I31)</f>
        <v>5.8000000000000007</v>
      </c>
      <c r="G31" s="15">
        <v>3.1</v>
      </c>
      <c r="H31" s="15">
        <v>-0.1</v>
      </c>
      <c r="I31" s="15">
        <v>4.5999999999999996</v>
      </c>
      <c r="J31" s="57">
        <v>13.4</v>
      </c>
      <c r="K31" s="15">
        <v>4.4000000000000004</v>
      </c>
      <c r="L31" s="15">
        <v>-1.2</v>
      </c>
      <c r="M31" s="15">
        <v>2.5</v>
      </c>
      <c r="N31" s="15">
        <v>-6.1</v>
      </c>
      <c r="O31" s="24">
        <f>SUM(K31:N31)</f>
        <v>-0.39999999999999947</v>
      </c>
      <c r="P31" s="15">
        <v>-4.3</v>
      </c>
      <c r="Q31" s="15">
        <v>0.2</v>
      </c>
      <c r="R31" s="15">
        <v>63.4</v>
      </c>
      <c r="S31" s="15">
        <v>65.900000000000006</v>
      </c>
      <c r="T31" s="24">
        <f>SUM(P31:S31)</f>
        <v>125.2</v>
      </c>
      <c r="U31" s="17">
        <f>U29-U30</f>
        <v>12.829000000000001</v>
      </c>
      <c r="V31" s="13"/>
      <c r="W31" s="13"/>
      <c r="X31" s="13"/>
      <c r="Y31" s="433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1:34" s="11" customFormat="1" ht="15" collapsed="1" thickBot="1">
      <c r="B32" s="31" t="s">
        <v>35</v>
      </c>
      <c r="C32" s="31" t="s">
        <v>16</v>
      </c>
      <c r="D32" s="36">
        <f>D28+D29</f>
        <v>16.257000000000062</v>
      </c>
      <c r="E32" s="36">
        <f t="shared" ref="E32:T32" si="28">E28+E29</f>
        <v>-45.007999999999996</v>
      </c>
      <c r="F32" s="32">
        <f t="shared" si="28"/>
        <v>-20.246399880000038</v>
      </c>
      <c r="G32" s="32">
        <f t="shared" si="28"/>
        <v>-3.6789461917437993</v>
      </c>
      <c r="H32" s="32">
        <f t="shared" si="28"/>
        <v>22.336645202288675</v>
      </c>
      <c r="I32" s="32">
        <f t="shared" si="28"/>
        <v>-119.6666002239286</v>
      </c>
      <c r="J32" s="33">
        <v>-121.25530109338366</v>
      </c>
      <c r="K32" s="32">
        <f t="shared" si="28"/>
        <v>6.5434146300000435</v>
      </c>
      <c r="L32" s="32">
        <f t="shared" si="28"/>
        <v>-202.58888557000003</v>
      </c>
      <c r="M32" s="32">
        <f t="shared" si="28"/>
        <v>150.77258114786704</v>
      </c>
      <c r="N32" s="32">
        <f t="shared" si="28"/>
        <v>22.844331858290616</v>
      </c>
      <c r="O32" s="60">
        <f t="shared" si="28"/>
        <v>-22.428557933842526</v>
      </c>
      <c r="P32" s="61">
        <f t="shared" si="28"/>
        <v>-15.58957981053382</v>
      </c>
      <c r="Q32" s="61">
        <f t="shared" si="28"/>
        <v>-24.589336091478025</v>
      </c>
      <c r="R32" s="61">
        <f t="shared" si="28"/>
        <v>56.991605062011992</v>
      </c>
      <c r="S32" s="61">
        <f t="shared" si="28"/>
        <v>96.912000000000063</v>
      </c>
      <c r="T32" s="60">
        <f t="shared" si="28"/>
        <v>113.72468916000055</v>
      </c>
      <c r="U32" s="61">
        <v>41.222000000000008</v>
      </c>
      <c r="V32" s="61">
        <f ca="1">V28+V29</f>
        <v>2.110584493610955</v>
      </c>
      <c r="W32" s="61">
        <f t="shared" ref="W32:AH32" ca="1" si="29">W28+W29</f>
        <v>59.969218899945105</v>
      </c>
      <c r="X32" s="61">
        <f t="shared" ca="1" si="29"/>
        <v>40.035926262022258</v>
      </c>
      <c r="Y32" s="60">
        <f ca="1">SUM(U32:X32)</f>
        <v>143.33772965557833</v>
      </c>
      <c r="Z32" s="61">
        <f t="shared" ca="1" si="29"/>
        <v>352.74576814426518</v>
      </c>
      <c r="AA32" s="61">
        <f t="shared" ca="1" si="29"/>
        <v>515.27876400660705</v>
      </c>
      <c r="AB32" s="61">
        <f t="shared" ca="1" si="29"/>
        <v>645.48123926427922</v>
      </c>
      <c r="AC32" s="61">
        <f t="shared" ca="1" si="29"/>
        <v>791.52518781460867</v>
      </c>
      <c r="AD32" s="61">
        <f t="shared" ca="1" si="29"/>
        <v>968.47886419055317</v>
      </c>
      <c r="AE32" s="61">
        <f t="shared" ca="1" si="29"/>
        <v>1169.8548386201596</v>
      </c>
      <c r="AF32" s="61">
        <f t="shared" ca="1" si="29"/>
        <v>1398.4080742629158</v>
      </c>
      <c r="AG32" s="61">
        <f t="shared" ca="1" si="29"/>
        <v>1657.222041218502</v>
      </c>
      <c r="AH32" s="61">
        <f t="shared" ca="1" si="29"/>
        <v>1953.5674135599197</v>
      </c>
    </row>
    <row r="33" spans="2:34">
      <c r="B33" s="29" t="s">
        <v>333</v>
      </c>
      <c r="C33" t="s">
        <v>16</v>
      </c>
      <c r="D33" s="17">
        <f>0</f>
        <v>0</v>
      </c>
      <c r="E33" s="17">
        <f>0</f>
        <v>0</v>
      </c>
      <c r="F33" s="17">
        <f>0</f>
        <v>0</v>
      </c>
      <c r="G33" s="17">
        <f>0</f>
        <v>0</v>
      </c>
      <c r="H33" s="17">
        <f>0</f>
        <v>0</v>
      </c>
      <c r="I33" s="17">
        <f>0</f>
        <v>0</v>
      </c>
      <c r="J33" s="17">
        <f>0</f>
        <v>0</v>
      </c>
      <c r="K33" s="17">
        <f>0</f>
        <v>0</v>
      </c>
      <c r="L33" s="17">
        <f>0</f>
        <v>0</v>
      </c>
      <c r="M33" s="17">
        <f>0</f>
        <v>0</v>
      </c>
      <c r="N33" s="17">
        <f>0</f>
        <v>0</v>
      </c>
      <c r="O33" s="17">
        <f>0</f>
        <v>0</v>
      </c>
      <c r="P33" s="17">
        <f>0</f>
        <v>0</v>
      </c>
      <c r="Q33" s="17">
        <f>0</f>
        <v>0</v>
      </c>
      <c r="R33" s="17">
        <f>0</f>
        <v>0</v>
      </c>
      <c r="S33" s="17">
        <f>0</f>
        <v>0</v>
      </c>
      <c r="T33" s="17">
        <f>0</f>
        <v>0</v>
      </c>
      <c r="U33" s="17">
        <f>0</f>
        <v>0</v>
      </c>
      <c r="V33" s="17">
        <f ca="1">V34*V32</f>
        <v>0</v>
      </c>
      <c r="W33" s="17">
        <f t="shared" ref="W33:X33" ca="1" si="30">W34*W32</f>
        <v>0</v>
      </c>
      <c r="X33" s="17">
        <f t="shared" ca="1" si="30"/>
        <v>0</v>
      </c>
      <c r="Y33" s="17">
        <f ca="1">-SUM(U33:X33)</f>
        <v>0</v>
      </c>
      <c r="Z33" s="17">
        <f ca="1">-Z34*Z32</f>
        <v>-35.274576814426517</v>
      </c>
      <c r="AA33" s="17">
        <f t="shared" ref="AA33:AH33" ca="1" si="31">-AA34*AA32</f>
        <v>-51.527876400660709</v>
      </c>
      <c r="AB33" s="17">
        <f t="shared" ca="1" si="31"/>
        <v>-64.54812392642792</v>
      </c>
      <c r="AC33" s="17">
        <f t="shared" ca="1" si="31"/>
        <v>-79.15251878146087</v>
      </c>
      <c r="AD33" s="17">
        <f t="shared" ca="1" si="31"/>
        <v>-96.847886419055328</v>
      </c>
      <c r="AE33" s="17">
        <f t="shared" ca="1" si="31"/>
        <v>-116.98548386201597</v>
      </c>
      <c r="AF33" s="17">
        <f t="shared" ca="1" si="31"/>
        <v>-139.84080742629158</v>
      </c>
      <c r="AG33" s="17">
        <f t="shared" ca="1" si="31"/>
        <v>-165.72220412185021</v>
      </c>
      <c r="AH33" s="17">
        <f t="shared" ca="1" si="31"/>
        <v>-195.35674135599197</v>
      </c>
    </row>
    <row r="34" spans="2:34">
      <c r="B34" s="164" t="s">
        <v>334</v>
      </c>
      <c r="C34" s="90" t="s">
        <v>128</v>
      </c>
      <c r="D34" s="177">
        <f>D33/D32</f>
        <v>0</v>
      </c>
      <c r="E34" s="177">
        <f t="shared" ref="E34:U34" si="32">E33/E32</f>
        <v>0</v>
      </c>
      <c r="F34" s="177">
        <f t="shared" si="32"/>
        <v>0</v>
      </c>
      <c r="G34" s="177">
        <f t="shared" si="32"/>
        <v>0</v>
      </c>
      <c r="H34" s="177">
        <f t="shared" si="32"/>
        <v>0</v>
      </c>
      <c r="I34" s="177">
        <f t="shared" si="32"/>
        <v>0</v>
      </c>
      <c r="J34" s="177">
        <f t="shared" si="32"/>
        <v>0</v>
      </c>
      <c r="K34" s="177">
        <f t="shared" si="32"/>
        <v>0</v>
      </c>
      <c r="L34" s="177">
        <f t="shared" si="32"/>
        <v>0</v>
      </c>
      <c r="M34" s="177">
        <f t="shared" si="32"/>
        <v>0</v>
      </c>
      <c r="N34" s="177">
        <f t="shared" si="32"/>
        <v>0</v>
      </c>
      <c r="O34" s="177">
        <f t="shared" si="32"/>
        <v>0</v>
      </c>
      <c r="P34" s="177">
        <f t="shared" si="32"/>
        <v>0</v>
      </c>
      <c r="Q34" s="177">
        <f t="shared" si="32"/>
        <v>0</v>
      </c>
      <c r="R34" s="177">
        <f t="shared" si="32"/>
        <v>0</v>
      </c>
      <c r="S34" s="177">
        <f t="shared" si="32"/>
        <v>0</v>
      </c>
      <c r="T34" s="177">
        <f t="shared" si="32"/>
        <v>0</v>
      </c>
      <c r="U34" s="177">
        <f t="shared" si="32"/>
        <v>0</v>
      </c>
      <c r="V34" s="181">
        <f>U34</f>
        <v>0</v>
      </c>
      <c r="W34" s="181">
        <f t="shared" ref="W34:X34" si="33">V34</f>
        <v>0</v>
      </c>
      <c r="X34" s="181">
        <f t="shared" si="33"/>
        <v>0</v>
      </c>
      <c r="Y34" s="177">
        <f ca="1">Y33/Y32</f>
        <v>0</v>
      </c>
      <c r="Z34" s="181">
        <v>0.1</v>
      </c>
      <c r="AA34" s="181">
        <v>0.1</v>
      </c>
      <c r="AB34" s="181">
        <v>0.1</v>
      </c>
      <c r="AC34" s="181">
        <v>0.1</v>
      </c>
      <c r="AD34" s="181">
        <v>0.1</v>
      </c>
      <c r="AE34" s="181">
        <v>0.1</v>
      </c>
      <c r="AF34" s="181">
        <v>0.1</v>
      </c>
      <c r="AG34" s="181">
        <v>0.1</v>
      </c>
      <c r="AH34" s="181">
        <v>0.1</v>
      </c>
    </row>
    <row r="35" spans="2:34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2:34">
      <c r="B36" s="164"/>
      <c r="C36" s="9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2:34">
      <c r="B37" s="73" t="s">
        <v>323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2:34">
      <c r="B38" s="230" t="s">
        <v>212</v>
      </c>
      <c r="C38" s="90" t="s">
        <v>128</v>
      </c>
      <c r="D38" s="91">
        <f t="shared" ref="D38:U38" si="34">D12/D8</f>
        <v>0.29443795225896341</v>
      </c>
      <c r="E38" s="91">
        <f t="shared" si="34"/>
        <v>0.27258139934063724</v>
      </c>
      <c r="F38" s="91">
        <f t="shared" si="34"/>
        <v>0.2806760205488365</v>
      </c>
      <c r="G38" s="91">
        <f t="shared" si="34"/>
        <v>0.31450000517968313</v>
      </c>
      <c r="H38" s="91">
        <f t="shared" si="34"/>
        <v>0.3204619154133117</v>
      </c>
      <c r="I38" s="91">
        <f t="shared" si="34"/>
        <v>0.32813793673024894</v>
      </c>
      <c r="J38" s="91">
        <f t="shared" si="34"/>
        <v>0.31235101707960039</v>
      </c>
      <c r="K38" s="91">
        <f t="shared" si="34"/>
        <v>0.31692959066116461</v>
      </c>
      <c r="L38" s="91">
        <f t="shared" si="34"/>
        <v>0.29600881922479166</v>
      </c>
      <c r="M38" s="91">
        <f t="shared" si="34"/>
        <v>0.32218657089870784</v>
      </c>
      <c r="N38" s="91">
        <f t="shared" si="34"/>
        <v>0.34590345614348084</v>
      </c>
      <c r="O38" s="91">
        <f t="shared" si="34"/>
        <v>0.32152841566416207</v>
      </c>
      <c r="P38" s="91">
        <f t="shared" si="34"/>
        <v>0.33582564310751134</v>
      </c>
      <c r="Q38" s="91">
        <f t="shared" si="34"/>
        <v>0.35702411379042109</v>
      </c>
      <c r="R38" s="91">
        <f t="shared" si="34"/>
        <v>0.35003763300431673</v>
      </c>
      <c r="S38" s="91">
        <f t="shared" si="34"/>
        <v>0.37162399878999908</v>
      </c>
      <c r="T38" s="91">
        <f t="shared" si="34"/>
        <v>0.35519018886311321</v>
      </c>
      <c r="U38" s="91">
        <f t="shared" si="34"/>
        <v>0.36381909547738694</v>
      </c>
      <c r="V38" s="91">
        <f t="shared" ref="V38:AH38" si="35">V12/V8</f>
        <v>0.30070194635601766</v>
      </c>
      <c r="W38" s="91">
        <f t="shared" si="35"/>
        <v>0.34841594731523695</v>
      </c>
      <c r="X38" s="91">
        <f t="shared" si="35"/>
        <v>0.31988095725814714</v>
      </c>
      <c r="Y38" s="91">
        <f t="shared" si="35"/>
        <v>0.33290303796295739</v>
      </c>
      <c r="Z38" s="91">
        <f t="shared" si="35"/>
        <v>0.33043855480049222</v>
      </c>
      <c r="AA38" s="91">
        <f t="shared" si="35"/>
        <v>0.33273605916903981</v>
      </c>
      <c r="AB38" s="91">
        <f t="shared" si="35"/>
        <v>0.33457347011852356</v>
      </c>
      <c r="AC38" s="91">
        <f t="shared" si="35"/>
        <v>0.33635958141768019</v>
      </c>
      <c r="AD38" s="91">
        <f t="shared" si="35"/>
        <v>0.33809570424989138</v>
      </c>
      <c r="AE38" s="91">
        <f t="shared" si="35"/>
        <v>0.3397831307513321</v>
      </c>
      <c r="AF38" s="91">
        <f t="shared" si="35"/>
        <v>0.34142313215311892</v>
      </c>
      <c r="AG38" s="91">
        <f t="shared" si="35"/>
        <v>0.34301695732931614</v>
      </c>
      <c r="AH38" s="91">
        <f t="shared" si="35"/>
        <v>0.34456583168114996</v>
      </c>
    </row>
    <row r="39" spans="2:34">
      <c r="B39" s="230" t="s">
        <v>324</v>
      </c>
      <c r="C39" s="90" t="s">
        <v>128</v>
      </c>
      <c r="D39" s="91">
        <f t="shared" ref="D39:U39" si="36">D20/D8</f>
        <v>7.8737310103574737E-2</v>
      </c>
      <c r="E39" s="91">
        <f t="shared" si="36"/>
        <v>3.4122911376671346E-2</v>
      </c>
      <c r="F39" s="91">
        <f t="shared" si="36"/>
        <v>1.2450618869372789E-2</v>
      </c>
      <c r="G39" s="91">
        <f t="shared" si="36"/>
        <v>5.273550218739307E-2</v>
      </c>
      <c r="H39" s="91">
        <f t="shared" si="36"/>
        <v>0.10495342588336022</v>
      </c>
      <c r="I39" s="91">
        <f t="shared" si="36"/>
        <v>-0.11591817356363907</v>
      </c>
      <c r="J39" s="91">
        <f t="shared" si="36"/>
        <v>9.6385213160282042E-3</v>
      </c>
      <c r="K39" s="91">
        <f t="shared" si="36"/>
        <v>9.0136253124227156E-2</v>
      </c>
      <c r="L39" s="91">
        <f t="shared" si="36"/>
        <v>-0.23063484231078624</v>
      </c>
      <c r="M39" s="91">
        <f t="shared" si="36"/>
        <v>0.28901354265088902</v>
      </c>
      <c r="N39" s="91">
        <f t="shared" si="36"/>
        <v>9.5262836798884476E-2</v>
      </c>
      <c r="O39" s="91">
        <f t="shared" si="36"/>
        <v>6.5597747081735783E-2</v>
      </c>
      <c r="P39" s="91">
        <f t="shared" si="36"/>
        <v>8.9821450023598162E-2</v>
      </c>
      <c r="Q39" s="91">
        <f t="shared" si="36"/>
        <v>8.4431230035028323E-2</v>
      </c>
      <c r="R39" s="91">
        <f t="shared" si="36"/>
        <v>0.11264778692331458</v>
      </c>
      <c r="S39" s="91">
        <f t="shared" si="36"/>
        <v>0.1569145962937146</v>
      </c>
      <c r="T39" s="91">
        <f t="shared" si="36"/>
        <v>0.11509801478969507</v>
      </c>
      <c r="U39" s="91">
        <f t="shared" si="36"/>
        <v>0.16138384228836491</v>
      </c>
      <c r="V39" s="91">
        <f t="shared" ref="V39:AH39" si="37">V20/V8</f>
        <v>7.1729851591521107E-2</v>
      </c>
      <c r="W39" s="91">
        <f t="shared" si="37"/>
        <v>0.12780855807913971</v>
      </c>
      <c r="X39" s="91">
        <f t="shared" si="37"/>
        <v>0.10153944176857217</v>
      </c>
      <c r="Y39" s="91">
        <f t="shared" si="37"/>
        <v>0.13484161050650151</v>
      </c>
      <c r="Z39" s="91">
        <f t="shared" si="37"/>
        <v>0.13565037053015858</v>
      </c>
      <c r="AA39" s="91">
        <f t="shared" si="37"/>
        <v>0.14574880188921249</v>
      </c>
      <c r="AB39" s="91">
        <f t="shared" si="37"/>
        <v>0.15325141809893664</v>
      </c>
      <c r="AC39" s="91">
        <f t="shared" si="37"/>
        <v>0.1603229874822992</v>
      </c>
      <c r="AD39" s="91">
        <f t="shared" si="37"/>
        <v>0.16707495333625214</v>
      </c>
      <c r="AE39" s="91">
        <f t="shared" si="37"/>
        <v>0.17352906476939275</v>
      </c>
      <c r="AF39" s="91">
        <f t="shared" si="37"/>
        <v>0.17970574224291302</v>
      </c>
      <c r="AG39" s="91">
        <f t="shared" si="37"/>
        <v>0.18562396562316727</v>
      </c>
      <c r="AH39" s="91">
        <f t="shared" si="37"/>
        <v>0.19130124754896558</v>
      </c>
    </row>
    <row r="40" spans="2:34">
      <c r="B40" s="230" t="s">
        <v>325</v>
      </c>
      <c r="C40" s="90" t="s">
        <v>128</v>
      </c>
      <c r="D40" s="91">
        <f t="shared" ref="D40:U40" si="38">D22/D8</f>
        <v>9.5798012249294906E-2</v>
      </c>
      <c r="E40" s="91">
        <f t="shared" si="38"/>
        <v>7.2065273363282847E-2</v>
      </c>
      <c r="F40" s="91">
        <f t="shared" si="38"/>
        <v>6.365066121991618E-2</v>
      </c>
      <c r="G40" s="91">
        <f t="shared" si="38"/>
        <v>0.10197771453368597</v>
      </c>
      <c r="H40" s="91">
        <f t="shared" si="38"/>
        <v>0.15441061239857004</v>
      </c>
      <c r="I40" s="91">
        <f t="shared" si="38"/>
        <v>-5.6927853431439357E-2</v>
      </c>
      <c r="J40" s="91">
        <f t="shared" si="38"/>
        <v>6.2122981963090129E-2</v>
      </c>
      <c r="K40" s="91">
        <f t="shared" si="38"/>
        <v>0.13548798902289805</v>
      </c>
      <c r="L40" s="91">
        <f t="shared" si="38"/>
        <v>-0.17438186479542028</v>
      </c>
      <c r="M40" s="91">
        <f t="shared" si="38"/>
        <v>0.3290241399250346</v>
      </c>
      <c r="N40" s="91">
        <f t="shared" si="38"/>
        <v>0.14202020351942246</v>
      </c>
      <c r="O40" s="91">
        <f t="shared" si="38"/>
        <v>0.11258882724039958</v>
      </c>
      <c r="P40" s="91">
        <f t="shared" si="38"/>
        <v>0.13311610119099423</v>
      </c>
      <c r="Q40" s="91">
        <f t="shared" si="38"/>
        <v>0.1374048937754439</v>
      </c>
      <c r="R40" s="91">
        <f t="shared" si="38"/>
        <v>0.15484057100953713</v>
      </c>
      <c r="S40" s="91">
        <f t="shared" si="38"/>
        <v>0.19258989517709418</v>
      </c>
      <c r="T40" s="91">
        <f t="shared" si="38"/>
        <v>0.15794224259169945</v>
      </c>
      <c r="U40" s="91">
        <f t="shared" si="38"/>
        <v>0.20800154619250097</v>
      </c>
      <c r="V40" s="91">
        <f t="shared" ref="V40:AH40" si="39">V22/V8</f>
        <v>0.14541518758511018</v>
      </c>
      <c r="W40" s="91">
        <f t="shared" si="39"/>
        <v>0.1960614184757937</v>
      </c>
      <c r="X40" s="91">
        <f t="shared" si="39"/>
        <v>0.16651160155421738</v>
      </c>
      <c r="Y40" s="91">
        <f t="shared" si="39"/>
        <v>0.18161555152814771</v>
      </c>
      <c r="Z40" s="91">
        <f t="shared" si="39"/>
        <v>0.17964035736010675</v>
      </c>
      <c r="AA40" s="91">
        <f t="shared" si="39"/>
        <v>0.18606324650834954</v>
      </c>
      <c r="AB40" s="91">
        <f t="shared" si="39"/>
        <v>0.19103541426739926</v>
      </c>
      <c r="AC40" s="91">
        <f t="shared" si="39"/>
        <v>0.19588988300439775</v>
      </c>
      <c r="AD40" s="91">
        <f t="shared" si="39"/>
        <v>0.20062917054711077</v>
      </c>
      <c r="AE40" s="91">
        <f t="shared" si="39"/>
        <v>0.20525578191770547</v>
      </c>
      <c r="AF40" s="91">
        <f t="shared" si="39"/>
        <v>0.20977220290751838</v>
      </c>
      <c r="AG40" s="91">
        <f t="shared" si="39"/>
        <v>0.21418089481156219</v>
      </c>
      <c r="AH40" s="91">
        <f t="shared" si="39"/>
        <v>0.21848429012948101</v>
      </c>
    </row>
    <row r="41" spans="2:34">
      <c r="B41" s="230" t="s">
        <v>326</v>
      </c>
      <c r="C41" s="90" t="s">
        <v>128</v>
      </c>
      <c r="D41" s="91">
        <f t="shared" ref="D41:U41" si="40">IF(D32/D8&gt;0,D32/D8,0)</f>
        <v>1.5470539646529108E-2</v>
      </c>
      <c r="E41" s="91">
        <f t="shared" si="40"/>
        <v>0</v>
      </c>
      <c r="F41" s="91">
        <f t="shared" si="40"/>
        <v>0</v>
      </c>
      <c r="G41" s="91">
        <f t="shared" si="40"/>
        <v>0</v>
      </c>
      <c r="H41" s="91">
        <f t="shared" si="40"/>
        <v>4.2557501652425375E-2</v>
      </c>
      <c r="I41" s="91">
        <f t="shared" si="40"/>
        <v>0</v>
      </c>
      <c r="J41" s="91">
        <f t="shared" si="40"/>
        <v>0</v>
      </c>
      <c r="K41" s="91">
        <f t="shared" si="40"/>
        <v>1.0647454780067503E-2</v>
      </c>
      <c r="L41" s="91">
        <f t="shared" si="40"/>
        <v>0</v>
      </c>
      <c r="M41" s="91">
        <f t="shared" si="40"/>
        <v>0.2219136633420668</v>
      </c>
      <c r="N41" s="91">
        <f t="shared" si="40"/>
        <v>2.9749910934262585E-2</v>
      </c>
      <c r="O41" s="91">
        <f t="shared" si="40"/>
        <v>0</v>
      </c>
      <c r="P41" s="91">
        <f t="shared" si="40"/>
        <v>0</v>
      </c>
      <c r="Q41" s="91">
        <f t="shared" si="40"/>
        <v>0</v>
      </c>
      <c r="R41" s="91">
        <f t="shared" si="40"/>
        <v>4.8967244733108095E-2</v>
      </c>
      <c r="S41" s="91">
        <f t="shared" si="40"/>
        <v>7.9662778004287657E-2</v>
      </c>
      <c r="T41" s="91">
        <f t="shared" si="40"/>
        <v>2.7817436195224889E-2</v>
      </c>
      <c r="U41" s="91">
        <f t="shared" si="40"/>
        <v>3.1868573637417866E-2</v>
      </c>
      <c r="V41" s="91">
        <f t="shared" ref="V41:AH41" ca="1" si="41">IF(V32/V8&gt;0,V32/V8,0)</f>
        <v>1.5950477842104325E-3</v>
      </c>
      <c r="W41" s="91">
        <f t="shared" ca="1" si="41"/>
        <v>4.1979681176594119E-2</v>
      </c>
      <c r="X41" s="91">
        <f t="shared" ca="1" si="41"/>
        <v>2.6678847912420388E-2</v>
      </c>
      <c r="Y41" s="91">
        <f t="shared" ca="1" si="41"/>
        <v>2.5845700915461317E-2</v>
      </c>
      <c r="Z41" s="91">
        <f t="shared" ca="1" si="41"/>
        <v>5.4575690953382945E-2</v>
      </c>
      <c r="AA41" s="91">
        <f t="shared" ca="1" si="41"/>
        <v>6.9130574291416516E-2</v>
      </c>
      <c r="AB41" s="91">
        <f t="shared" ca="1" si="41"/>
        <v>7.8724745130064569E-2</v>
      </c>
      <c r="AC41" s="91">
        <f t="shared" ca="1" si="41"/>
        <v>8.7820093059192153E-2</v>
      </c>
      <c r="AD41" s="91">
        <f t="shared" ca="1" si="41"/>
        <v>9.781540689588919E-2</v>
      </c>
      <c r="AE41" s="91">
        <f t="shared" ca="1" si="41"/>
        <v>0.10762404347697742</v>
      </c>
      <c r="AF41" s="91">
        <f t="shared" ca="1" si="41"/>
        <v>0.11725477314553708</v>
      </c>
      <c r="AG41" s="91">
        <f t="shared" ca="1" si="41"/>
        <v>0.12671948864528348</v>
      </c>
      <c r="AH41" s="91">
        <f t="shared" ca="1" si="41"/>
        <v>0.13629899131058784</v>
      </c>
    </row>
    <row r="42" spans="2:34">
      <c r="B42" s="2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2:34">
      <c r="B43" s="73" t="s">
        <v>330</v>
      </c>
      <c r="C43" s="5"/>
    </row>
    <row r="44" spans="2:34">
      <c r="B44" s="230" t="s">
        <v>331</v>
      </c>
      <c r="C44" s="90" t="s">
        <v>128</v>
      </c>
      <c r="M44" s="120">
        <f t="shared" ref="M44:U44" si="42">-M6/M5</f>
        <v>8.6958157736303429E-2</v>
      </c>
      <c r="N44" s="120">
        <f t="shared" si="42"/>
        <v>6.3482248484626747E-2</v>
      </c>
      <c r="O44" s="120">
        <f t="shared" si="42"/>
        <v>7.5753206822019789E-2</v>
      </c>
      <c r="P44" s="120">
        <f t="shared" si="42"/>
        <v>8.1231677556840798E-2</v>
      </c>
      <c r="Q44" s="120">
        <f t="shared" si="42"/>
        <v>8.5078824134642558E-2</v>
      </c>
      <c r="R44" s="120">
        <f t="shared" si="42"/>
        <v>7.1257690496899853E-2</v>
      </c>
      <c r="S44" s="120">
        <f t="shared" si="42"/>
        <v>8.1245067422900746E-2</v>
      </c>
      <c r="T44" s="120">
        <f t="shared" si="42"/>
        <v>7.9272913667112352E-2</v>
      </c>
      <c r="U44" s="120">
        <f t="shared" si="42"/>
        <v>7.3158498137002009E-2</v>
      </c>
      <c r="V44" s="242">
        <f>Q44</f>
        <v>8.5078824134642558E-2</v>
      </c>
      <c r="W44" s="242">
        <f>R44</f>
        <v>7.1257690496899853E-2</v>
      </c>
      <c r="X44" s="242">
        <f>S44</f>
        <v>8.1245067422900746E-2</v>
      </c>
      <c r="Y44" s="246">
        <f>-Y6/Y5</f>
        <v>7.7735721975212821E-2</v>
      </c>
      <c r="Z44" s="242">
        <f>Y44</f>
        <v>7.7735721975212821E-2</v>
      </c>
      <c r="AA44" s="242">
        <f t="shared" ref="AA44:AH44" si="43">Z44</f>
        <v>7.7735721975212821E-2</v>
      </c>
      <c r="AB44" s="242">
        <f t="shared" si="43"/>
        <v>7.7735721975212821E-2</v>
      </c>
      <c r="AC44" s="242">
        <f t="shared" si="43"/>
        <v>7.7735721975212821E-2</v>
      </c>
      <c r="AD44" s="242">
        <f t="shared" si="43"/>
        <v>7.7735721975212821E-2</v>
      </c>
      <c r="AE44" s="242">
        <f t="shared" si="43"/>
        <v>7.7735721975212821E-2</v>
      </c>
      <c r="AF44" s="242">
        <f t="shared" si="43"/>
        <v>7.7735721975212821E-2</v>
      </c>
      <c r="AG44" s="242">
        <f t="shared" si="43"/>
        <v>7.7735721975212821E-2</v>
      </c>
      <c r="AH44" s="242">
        <f t="shared" si="43"/>
        <v>7.7735721975212821E-2</v>
      </c>
    </row>
    <row r="45" spans="2:34">
      <c r="B45" s="77" t="s">
        <v>332</v>
      </c>
      <c r="C45" s="90" t="s">
        <v>128</v>
      </c>
      <c r="M45" s="120">
        <f t="shared" ref="M45:T45" si="44">-M7/M5</f>
        <v>0</v>
      </c>
      <c r="N45" s="120">
        <f t="shared" si="44"/>
        <v>0</v>
      </c>
      <c r="O45" s="120">
        <f t="shared" si="44"/>
        <v>1.6662031863502142E-2</v>
      </c>
      <c r="P45" s="120">
        <f t="shared" si="44"/>
        <v>0</v>
      </c>
      <c r="Q45" s="120">
        <f t="shared" si="44"/>
        <v>0</v>
      </c>
      <c r="R45" s="120">
        <f t="shared" si="44"/>
        <v>0</v>
      </c>
      <c r="S45" s="120">
        <f t="shared" si="44"/>
        <v>0</v>
      </c>
      <c r="T45" s="120">
        <f t="shared" si="44"/>
        <v>2.2365442612037222E-2</v>
      </c>
      <c r="U45" s="245">
        <v>2.1999999999999999E-2</v>
      </c>
      <c r="V45" s="245">
        <f>T45</f>
        <v>2.2365442612037222E-2</v>
      </c>
      <c r="W45" s="245">
        <f t="shared" ref="W45:X45" si="45">U45</f>
        <v>2.1999999999999999E-2</v>
      </c>
      <c r="X45" s="245">
        <f t="shared" si="45"/>
        <v>2.2365442612037222E-2</v>
      </c>
      <c r="Y45" s="246">
        <f>-Y7/Y5</f>
        <v>2.2187154238056599E-2</v>
      </c>
      <c r="Z45" s="242">
        <f>Y45</f>
        <v>2.2187154238056599E-2</v>
      </c>
      <c r="AA45" s="242">
        <f t="shared" ref="AA45:AH45" si="46">Z45</f>
        <v>2.2187154238056599E-2</v>
      </c>
      <c r="AB45" s="242">
        <f t="shared" si="46"/>
        <v>2.2187154238056599E-2</v>
      </c>
      <c r="AC45" s="242">
        <f t="shared" si="46"/>
        <v>2.2187154238056599E-2</v>
      </c>
      <c r="AD45" s="242">
        <f t="shared" si="46"/>
        <v>2.2187154238056599E-2</v>
      </c>
      <c r="AE45" s="242">
        <f t="shared" si="46"/>
        <v>2.2187154238056599E-2</v>
      </c>
      <c r="AF45" s="242">
        <f t="shared" si="46"/>
        <v>2.2187154238056599E-2</v>
      </c>
      <c r="AG45" s="242">
        <f t="shared" si="46"/>
        <v>2.2187154238056599E-2</v>
      </c>
      <c r="AH45" s="242">
        <f t="shared" si="46"/>
        <v>2.2187154238056599E-2</v>
      </c>
    </row>
  </sheetData>
  <phoneticPr fontId="12" type="noConversion"/>
  <pageMargins left="0.7" right="0.7" top="0.75" bottom="0.75" header="0.3" footer="0.3"/>
  <pageSetup paperSize="9" orientation="portrait" r:id="rId1"/>
  <ignoredErrors>
    <ignoredError sqref="P10:S10 P14:S19 P11:R11" formulaRange="1"/>
    <ignoredError sqref="S11" formula="1" formulaRange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74B9-482E-460B-8A6C-51A58C71BD96}">
  <dimension ref="A1:AE116"/>
  <sheetViews>
    <sheetView showGridLines="0" zoomScaleNormal="100" workbookViewId="0">
      <pane xSplit="3" ySplit="4" topLeftCell="R5" activePane="bottomRight" state="frozen"/>
      <selection pane="topRight" activeCell="D1" sqref="D1"/>
      <selection pane="bottomLeft" activeCell="A5" sqref="A5"/>
      <selection pane="bottomRight" activeCell="Y51" sqref="Y51"/>
    </sheetView>
  </sheetViews>
  <sheetFormatPr defaultRowHeight="14.4" outlineLevelCol="1"/>
  <cols>
    <col min="2" max="2" width="40" customWidth="1"/>
    <col min="3" max="3" width="10.6640625" bestFit="1" customWidth="1"/>
    <col min="4" max="4" width="13.6640625" bestFit="1" customWidth="1"/>
    <col min="5" max="5" width="11.5546875" bestFit="1" customWidth="1"/>
    <col min="7" max="10" width="9.109375" hidden="1" customWidth="1" outlineLevel="1"/>
    <col min="11" max="11" width="9.109375" collapsed="1"/>
    <col min="12" max="15" width="9.109375" outlineLevel="1"/>
    <col min="17" max="20" width="9.109375" customWidth="1" outlineLevel="1"/>
    <col min="21" max="30" width="11.5546875" bestFit="1" customWidth="1"/>
  </cols>
  <sheetData>
    <row r="1" spans="1:30">
      <c r="V1" s="13"/>
    </row>
    <row r="3" spans="1:30">
      <c r="R3" s="13">
        <f ca="1">R5-R20</f>
        <v>-0.2488687738423323</v>
      </c>
      <c r="S3" s="13">
        <f ca="1">S5-S20</f>
        <v>-0.15986877384148102</v>
      </c>
      <c r="T3" s="13">
        <f t="shared" ref="T3:AD3" ca="1" si="0">T5-T20</f>
        <v>-0.42986877384100808</v>
      </c>
      <c r="U3" s="13">
        <f t="shared" ca="1" si="0"/>
        <v>-0.42986877384100808</v>
      </c>
      <c r="V3" s="13">
        <f t="shared" ca="1" si="0"/>
        <v>-0.42986877384100808</v>
      </c>
      <c r="W3" s="13">
        <f t="shared" ca="1" si="0"/>
        <v>-0.42986877384100808</v>
      </c>
      <c r="X3" s="13">
        <f t="shared" ca="1" si="0"/>
        <v>-0.42986877384282707</v>
      </c>
      <c r="Y3" s="13">
        <f t="shared" ca="1" si="0"/>
        <v>-0.42986877384282707</v>
      </c>
      <c r="Z3" s="13">
        <f t="shared" ca="1" si="0"/>
        <v>-0.42986877384282707</v>
      </c>
      <c r="AA3" s="13">
        <f t="shared" ca="1" si="0"/>
        <v>-0.42986877384282707</v>
      </c>
      <c r="AB3" s="13">
        <f t="shared" ca="1" si="0"/>
        <v>-0.42986877384100808</v>
      </c>
      <c r="AC3" s="13">
        <f t="shared" ca="1" si="0"/>
        <v>-0.42986877384464606</v>
      </c>
      <c r="AD3" s="13">
        <f t="shared" ca="1" si="0"/>
        <v>-0.42986877384100808</v>
      </c>
    </row>
    <row r="4" spans="1:30">
      <c r="A4" s="7"/>
      <c r="B4" s="30" t="s">
        <v>81</v>
      </c>
      <c r="C4" s="7" t="s">
        <v>16</v>
      </c>
      <c r="D4" s="6">
        <v>2018</v>
      </c>
      <c r="E4" s="6">
        <v>2019</v>
      </c>
      <c r="F4" s="6">
        <v>2020</v>
      </c>
      <c r="G4" s="8" t="s">
        <v>4</v>
      </c>
      <c r="H4" s="8" t="s">
        <v>5</v>
      </c>
      <c r="I4" s="8" t="s">
        <v>6</v>
      </c>
      <c r="J4" s="8" t="s">
        <v>7</v>
      </c>
      <c r="K4" s="6">
        <v>2021</v>
      </c>
      <c r="L4" s="8" t="s">
        <v>8</v>
      </c>
      <c r="M4" s="8" t="s">
        <v>9</v>
      </c>
      <c r="N4" s="8" t="s">
        <v>10</v>
      </c>
      <c r="O4" s="8" t="s">
        <v>11</v>
      </c>
      <c r="P4" s="6">
        <v>2022</v>
      </c>
      <c r="Q4" s="64" t="s">
        <v>100</v>
      </c>
      <c r="R4" s="63" t="s">
        <v>101</v>
      </c>
      <c r="S4" s="63" t="s">
        <v>102</v>
      </c>
      <c r="T4" s="63" t="s">
        <v>103</v>
      </c>
      <c r="U4" s="37">
        <v>2023</v>
      </c>
      <c r="V4" s="37">
        <v>2024</v>
      </c>
      <c r="W4" s="37">
        <v>2025</v>
      </c>
      <c r="X4" s="37">
        <v>2026</v>
      </c>
      <c r="Y4" s="37">
        <v>2027</v>
      </c>
      <c r="Z4" s="37">
        <v>2028</v>
      </c>
      <c r="AA4" s="37">
        <v>2029</v>
      </c>
      <c r="AB4" s="37">
        <v>2030</v>
      </c>
      <c r="AC4" s="37">
        <v>2031</v>
      </c>
      <c r="AD4" s="37">
        <v>2032</v>
      </c>
    </row>
    <row r="5" spans="1:30">
      <c r="B5" s="25" t="s">
        <v>44</v>
      </c>
      <c r="C5" s="27"/>
      <c r="D5" s="26">
        <f t="shared" ref="D5:Q5" si="1">SUM(D6,D12)</f>
        <v>1348.3319999999999</v>
      </c>
      <c r="E5" s="26">
        <f t="shared" si="1"/>
        <v>2110.2750000000001</v>
      </c>
      <c r="F5" s="26">
        <f t="shared" si="1"/>
        <v>3362.6219999999998</v>
      </c>
      <c r="G5" s="26">
        <f t="shared" si="1"/>
        <v>3321.8020000000001</v>
      </c>
      <c r="H5" s="26">
        <f t="shared" si="1"/>
        <v>3114.4349999999999</v>
      </c>
      <c r="I5" s="26">
        <f t="shared" si="1"/>
        <v>4970.3020000000006</v>
      </c>
      <c r="J5" s="26">
        <f t="shared" si="1"/>
        <v>6032.41</v>
      </c>
      <c r="K5" s="26">
        <f t="shared" si="1"/>
        <v>6032.41</v>
      </c>
      <c r="L5" s="26">
        <f t="shared" si="1"/>
        <v>6281.619999999999</v>
      </c>
      <c r="M5" s="26">
        <f t="shared" si="1"/>
        <v>6414.165</v>
      </c>
      <c r="N5" s="26">
        <f t="shared" si="1"/>
        <v>7274.4930000000004</v>
      </c>
      <c r="O5" s="26">
        <f t="shared" si="1"/>
        <v>8219.7789999999986</v>
      </c>
      <c r="P5" s="26">
        <f t="shared" si="1"/>
        <v>8219.7789999999986</v>
      </c>
      <c r="Q5" s="26">
        <f t="shared" si="1"/>
        <v>8267.2569999999996</v>
      </c>
      <c r="R5" s="26">
        <f ca="1">R6+R12</f>
        <v>8230.4286975924115</v>
      </c>
      <c r="S5" s="26">
        <f t="shared" ref="S5:AD5" ca="1" si="2">S6+S12</f>
        <v>8169.5685133525831</v>
      </c>
      <c r="T5" s="26">
        <f t="shared" ca="1" si="2"/>
        <v>8725.323972298771</v>
      </c>
      <c r="U5" s="26">
        <f t="shared" ca="1" si="2"/>
        <v>8725.323972298771</v>
      </c>
      <c r="V5" s="26">
        <f t="shared" ca="1" si="2"/>
        <v>9305.4921198086377</v>
      </c>
      <c r="W5" s="26">
        <f t="shared" ca="1" si="2"/>
        <v>9962.7183183098896</v>
      </c>
      <c r="X5" s="26">
        <f t="shared" ca="1" si="2"/>
        <v>10674.703583432</v>
      </c>
      <c r="Y5" s="26">
        <f t="shared" ca="1" si="2"/>
        <v>11490.761076168126</v>
      </c>
      <c r="Z5" s="26">
        <f t="shared" ca="1" si="2"/>
        <v>12640.173408134606</v>
      </c>
      <c r="AA5" s="26">
        <f t="shared" ca="1" si="2"/>
        <v>13994.980428462868</v>
      </c>
      <c r="AB5" s="26">
        <f t="shared" ca="1" si="2"/>
        <v>15581.004452123772</v>
      </c>
      <c r="AC5" s="26">
        <f t="shared" ca="1" si="2"/>
        <v>17427.647920641237</v>
      </c>
      <c r="AD5" s="26">
        <f t="shared" ca="1" si="2"/>
        <v>19571.036393704991</v>
      </c>
    </row>
    <row r="6" spans="1:30" s="11" customFormat="1">
      <c r="B6" s="40" t="s">
        <v>41</v>
      </c>
      <c r="D6" s="16">
        <f t="shared" ref="D6:J6" si="3">SUM(D7:D11)</f>
        <v>613.27399999999989</v>
      </c>
      <c r="E6" s="16">
        <f t="shared" si="3"/>
        <v>983.44799999999998</v>
      </c>
      <c r="F6" s="16">
        <f t="shared" si="3"/>
        <v>1412.306</v>
      </c>
      <c r="G6" s="16">
        <f t="shared" si="3"/>
        <v>1368.519</v>
      </c>
      <c r="H6" s="16">
        <f t="shared" si="3"/>
        <v>1084.646</v>
      </c>
      <c r="I6" s="16">
        <f t="shared" si="3"/>
        <v>2639.2780000000002</v>
      </c>
      <c r="J6" s="16">
        <f t="shared" si="3"/>
        <v>2871.2289999999994</v>
      </c>
      <c r="K6" s="42">
        <f>J6</f>
        <v>2871.2289999999994</v>
      </c>
      <c r="L6" s="16">
        <f>SUM(L7:L11)</f>
        <v>2541.4469999999997</v>
      </c>
      <c r="M6" s="16">
        <f>SUM(M7:M11)</f>
        <v>2341.2870000000003</v>
      </c>
      <c r="N6" s="16">
        <f>SUM(N7:N11)</f>
        <v>2092.8150000000001</v>
      </c>
      <c r="O6" s="16">
        <f>SUM(O7:O11)</f>
        <v>2826.8289999999997</v>
      </c>
      <c r="P6" s="42">
        <f>O6</f>
        <v>2826.8289999999997</v>
      </c>
      <c r="Q6" s="16">
        <f>SUM(Q7:Q11)</f>
        <v>2778.9600000000005</v>
      </c>
      <c r="R6" s="42">
        <f ca="1">SUM(R7:R11)</f>
        <v>2878.7283472053296</v>
      </c>
      <c r="S6" s="42">
        <f t="shared" ref="S6:AD6" ca="1" si="4">SUM(S7:S11)</f>
        <v>2727.2634351865845</v>
      </c>
      <c r="T6" s="42">
        <f t="shared" ca="1" si="4"/>
        <v>3069.2355053111137</v>
      </c>
      <c r="U6" s="42">
        <f t="shared" ca="1" si="4"/>
        <v>3069.2355053111137</v>
      </c>
      <c r="V6" s="42">
        <f t="shared" ca="1" si="4"/>
        <v>3449.7783579119714</v>
      </c>
      <c r="W6" s="42">
        <f t="shared" ca="1" si="4"/>
        <v>3957.7003809317239</v>
      </c>
      <c r="X6" s="42">
        <f t="shared" ca="1" si="4"/>
        <v>4547.7424384685646</v>
      </c>
      <c r="Y6" s="42">
        <f t="shared" ca="1" si="4"/>
        <v>5227.7517362363997</v>
      </c>
      <c r="Z6" s="42">
        <f t="shared" ca="1" si="4"/>
        <v>6226.0050831952012</v>
      </c>
      <c r="AA6" s="42">
        <f t="shared" ca="1" si="4"/>
        <v>7413.4776137232484</v>
      </c>
      <c r="AB6" s="42">
        <f t="shared" ca="1" si="4"/>
        <v>8814.856263057427</v>
      </c>
      <c r="AC6" s="42">
        <f t="shared" ca="1" si="4"/>
        <v>10458.325974963402</v>
      </c>
      <c r="AD6" s="42">
        <f t="shared" ca="1" si="4"/>
        <v>12440.368038136037</v>
      </c>
    </row>
    <row r="7" spans="1:30">
      <c r="B7" s="39" t="s">
        <v>94</v>
      </c>
      <c r="D7" s="15">
        <v>198.85599999999999</v>
      </c>
      <c r="E7" s="15">
        <v>447.346</v>
      </c>
      <c r="F7" s="15">
        <v>789.50599999999997</v>
      </c>
      <c r="G7" s="15">
        <v>695.85900000000004</v>
      </c>
      <c r="H7" s="15">
        <v>358.80799999999999</v>
      </c>
      <c r="I7" s="15">
        <v>1773.521</v>
      </c>
      <c r="J7" s="15">
        <v>2014.752</v>
      </c>
      <c r="K7" s="23">
        <f t="shared" ref="K7:K11" si="5">J7</f>
        <v>2014.752</v>
      </c>
      <c r="L7" s="15">
        <v>1482.7449999999999</v>
      </c>
      <c r="M7" s="15">
        <v>1061.298</v>
      </c>
      <c r="N7" s="15">
        <v>591.42700000000002</v>
      </c>
      <c r="O7" s="15">
        <v>1092.8020000000001</v>
      </c>
      <c r="P7" s="23">
        <f t="shared" ref="P7:P11" si="6">O7</f>
        <v>1092.8020000000001</v>
      </c>
      <c r="Q7" s="15">
        <v>770.61400000000003</v>
      </c>
      <c r="R7" s="23">
        <f ca="1">CFS!R36</f>
        <v>982.54665421011237</v>
      </c>
      <c r="S7" s="23">
        <f ca="1">CFS!S36</f>
        <v>884.06391483417519</v>
      </c>
      <c r="T7" s="23">
        <f ca="1">CFS!T36</f>
        <v>913.55494151917105</v>
      </c>
      <c r="U7" s="23">
        <f ca="1">T7</f>
        <v>913.55494151917105</v>
      </c>
      <c r="V7" s="23">
        <f ca="1">CFS!V36</f>
        <v>936.51705120021302</v>
      </c>
      <c r="W7" s="23">
        <f ca="1">CFS!W36</f>
        <v>1060.3880402620221</v>
      </c>
      <c r="X7" s="23">
        <f ca="1">CFS!X36</f>
        <v>1361.534413466532</v>
      </c>
      <c r="Y7" s="23">
        <f ca="1">CFS!Y36</f>
        <v>1726.2487476885608</v>
      </c>
      <c r="Z7" s="23">
        <f ca="1">CFS!Z36</f>
        <v>2380.5149656263766</v>
      </c>
      <c r="AA7" s="23">
        <f ca="1">CFS!AA36</f>
        <v>3192.8227050411806</v>
      </c>
      <c r="AB7" s="23">
        <f ca="1">CFS!AB36</f>
        <v>4185.1649922400757</v>
      </c>
      <c r="AC7" s="23">
        <f ca="1">CFS!AC36</f>
        <v>5382.8073740094424</v>
      </c>
      <c r="AD7" s="23">
        <f ca="1">CFS!AD36</f>
        <v>6879.0678032074084</v>
      </c>
    </row>
    <row r="8" spans="1:30">
      <c r="B8" s="39" t="s">
        <v>42</v>
      </c>
      <c r="D8" s="15">
        <v>314.44799999999998</v>
      </c>
      <c r="E8" s="15">
        <v>416.584</v>
      </c>
      <c r="F8" s="15">
        <v>481.3</v>
      </c>
      <c r="G8" s="15">
        <v>529.49599999999998</v>
      </c>
      <c r="H8" s="15">
        <v>556.89</v>
      </c>
      <c r="I8" s="15">
        <v>645.28399999999999</v>
      </c>
      <c r="J8" s="15">
        <v>666.15099999999995</v>
      </c>
      <c r="K8" s="23">
        <f t="shared" si="5"/>
        <v>666.15099999999995</v>
      </c>
      <c r="L8" s="15">
        <v>782.62900000000002</v>
      </c>
      <c r="M8" s="15">
        <v>1005.4829999999999</v>
      </c>
      <c r="N8" s="15">
        <v>1185.566</v>
      </c>
      <c r="O8" s="15">
        <v>1379.614</v>
      </c>
      <c r="P8" s="23">
        <f t="shared" si="6"/>
        <v>1379.614</v>
      </c>
      <c r="Q8" s="15">
        <v>1631.4449999999999</v>
      </c>
      <c r="R8" s="23">
        <f>R70</f>
        <v>1478.4598171114185</v>
      </c>
      <c r="S8" s="23">
        <f t="shared" ref="S8:AD8" si="7">S70</f>
        <v>1455.1567293577987</v>
      </c>
      <c r="T8" s="23">
        <f t="shared" si="7"/>
        <v>1701.8382990622815</v>
      </c>
      <c r="U8" s="23">
        <f t="shared" si="7"/>
        <v>1701.8382990622815</v>
      </c>
      <c r="V8" s="23">
        <f t="shared" si="7"/>
        <v>1983.3924493072741</v>
      </c>
      <c r="W8" s="23">
        <f t="shared" si="7"/>
        <v>2287.2738550685913</v>
      </c>
      <c r="X8" s="23">
        <f t="shared" si="7"/>
        <v>2516.0452469542633</v>
      </c>
      <c r="Y8" s="23">
        <f t="shared" si="7"/>
        <v>2765.7755469843187</v>
      </c>
      <c r="Z8" s="23">
        <f t="shared" si="7"/>
        <v>3038.2882035993848</v>
      </c>
      <c r="AA8" s="23">
        <f t="shared" si="7"/>
        <v>3335.559999874059</v>
      </c>
      <c r="AB8" s="23">
        <f t="shared" si="7"/>
        <v>3659.733640979779</v>
      </c>
      <c r="AC8" s="23">
        <f t="shared" si="7"/>
        <v>4013.1313566735025</v>
      </c>
      <c r="AD8" s="23">
        <f t="shared" si="7"/>
        <v>4398.2695995443182</v>
      </c>
    </row>
    <row r="9" spans="1:30">
      <c r="B9" s="39" t="s">
        <v>43</v>
      </c>
      <c r="D9" s="15">
        <v>16.238</v>
      </c>
      <c r="E9" s="15">
        <v>18.515000000000001</v>
      </c>
      <c r="F9" s="15">
        <v>37.5</v>
      </c>
      <c r="G9" s="15">
        <v>41.06</v>
      </c>
      <c r="H9" s="15">
        <v>52.817999999999998</v>
      </c>
      <c r="I9" s="15">
        <v>55.454000000000001</v>
      </c>
      <c r="J9" s="15">
        <v>69.41</v>
      </c>
      <c r="K9" s="23">
        <f t="shared" si="5"/>
        <v>69.41</v>
      </c>
      <c r="L9" s="15">
        <v>114.998</v>
      </c>
      <c r="M9" s="15">
        <v>109.38500000000001</v>
      </c>
      <c r="N9" s="15">
        <v>132.16</v>
      </c>
      <c r="O9" s="15">
        <v>163.93700000000001</v>
      </c>
      <c r="P9" s="23">
        <f t="shared" si="6"/>
        <v>163.93700000000001</v>
      </c>
      <c r="Q9" s="15">
        <v>151.44399999999999</v>
      </c>
      <c r="R9" s="23">
        <f>R69</f>
        <v>174.92834932864676</v>
      </c>
      <c r="S9" s="23">
        <f t="shared" ref="S9:AD9" si="8">S69</f>
        <v>162.61713335318677</v>
      </c>
      <c r="T9" s="23">
        <f t="shared" si="8"/>
        <v>218.87846191801458</v>
      </c>
      <c r="U9" s="23">
        <f t="shared" si="8"/>
        <v>218.87846191801458</v>
      </c>
      <c r="V9" s="23">
        <f t="shared" si="8"/>
        <v>256.0323638822004</v>
      </c>
      <c r="W9" s="23">
        <f t="shared" si="8"/>
        <v>294.24669542063606</v>
      </c>
      <c r="X9" s="23">
        <f t="shared" si="8"/>
        <v>322.78573312153674</v>
      </c>
      <c r="Y9" s="23">
        <f t="shared" si="8"/>
        <v>353.87145642029515</v>
      </c>
      <c r="Z9" s="23">
        <f t="shared" si="8"/>
        <v>387.72154926685198</v>
      </c>
      <c r="AA9" s="23">
        <f t="shared" si="8"/>
        <v>424.57180123153375</v>
      </c>
      <c r="AB9" s="23">
        <f t="shared" si="8"/>
        <v>464.67758411516979</v>
      </c>
      <c r="AC9" s="23">
        <f t="shared" si="8"/>
        <v>508.31544717362584</v>
      </c>
      <c r="AD9" s="23">
        <f t="shared" si="8"/>
        <v>555.7848403700475</v>
      </c>
    </row>
    <row r="10" spans="1:30">
      <c r="B10" s="39" t="s">
        <v>73</v>
      </c>
      <c r="D10" s="15">
        <v>57.615000000000002</v>
      </c>
      <c r="E10" s="15">
        <v>75.573999999999998</v>
      </c>
      <c r="F10" s="15">
        <v>79.5</v>
      </c>
      <c r="G10" s="15">
        <v>82.120999999999995</v>
      </c>
      <c r="H10" s="15">
        <v>87.215000000000003</v>
      </c>
      <c r="I10" s="15">
        <v>100.97799999999999</v>
      </c>
      <c r="J10" s="15">
        <v>96.631</v>
      </c>
      <c r="K10" s="23">
        <f t="shared" si="5"/>
        <v>96.631</v>
      </c>
      <c r="L10" s="15">
        <v>110.5</v>
      </c>
      <c r="M10" s="15">
        <v>117.837</v>
      </c>
      <c r="N10" s="15">
        <v>130.41300000000001</v>
      </c>
      <c r="O10" s="15">
        <v>142.602</v>
      </c>
      <c r="P10" s="23">
        <f t="shared" si="6"/>
        <v>142.602</v>
      </c>
      <c r="Q10" s="15">
        <v>167.148</v>
      </c>
      <c r="R10" s="23">
        <f>R91</f>
        <v>173.26724516372553</v>
      </c>
      <c r="S10" s="23">
        <f t="shared" ref="S10:AD10" si="9">S91</f>
        <v>160.06814850100176</v>
      </c>
      <c r="T10" s="23">
        <f t="shared" si="9"/>
        <v>175.90829400316278</v>
      </c>
      <c r="U10" s="23">
        <f t="shared" si="9"/>
        <v>175.90829400316278</v>
      </c>
      <c r="V10" s="23">
        <f t="shared" si="9"/>
        <v>205.01077116941104</v>
      </c>
      <c r="W10" s="23">
        <f t="shared" si="9"/>
        <v>236.42107595348494</v>
      </c>
      <c r="X10" s="23">
        <f t="shared" si="9"/>
        <v>260.06773221072837</v>
      </c>
      <c r="Y10" s="23">
        <f t="shared" si="9"/>
        <v>285.88077864609795</v>
      </c>
      <c r="Z10" s="23">
        <f t="shared" si="9"/>
        <v>314.04869362711554</v>
      </c>
      <c r="AA10" s="23">
        <f t="shared" si="9"/>
        <v>344.77580475556243</v>
      </c>
      <c r="AB10" s="23">
        <f t="shared" si="9"/>
        <v>378.28358995414544</v>
      </c>
      <c r="AC10" s="23">
        <f t="shared" si="9"/>
        <v>414.81208346998125</v>
      </c>
      <c r="AD10" s="23">
        <f t="shared" si="9"/>
        <v>454.62139513966866</v>
      </c>
    </row>
    <row r="11" spans="1:30">
      <c r="B11" s="39" t="s">
        <v>74</v>
      </c>
      <c r="D11" s="15">
        <v>26.117000000000001</v>
      </c>
      <c r="E11" s="15">
        <v>25.428999999999998</v>
      </c>
      <c r="F11" s="15">
        <v>24.5</v>
      </c>
      <c r="G11" s="15">
        <v>19.983000000000001</v>
      </c>
      <c r="H11" s="15">
        <v>28.914999999999999</v>
      </c>
      <c r="I11" s="15">
        <v>64.040999999999997</v>
      </c>
      <c r="J11" s="15">
        <v>24.285</v>
      </c>
      <c r="K11" s="23">
        <f t="shared" si="5"/>
        <v>24.285</v>
      </c>
      <c r="L11" s="15">
        <v>50.575000000000003</v>
      </c>
      <c r="M11" s="15">
        <v>47.283999999999999</v>
      </c>
      <c r="N11" s="15">
        <v>53.249000000000002</v>
      </c>
      <c r="O11" s="15">
        <v>47.874000000000002</v>
      </c>
      <c r="P11" s="23">
        <f t="shared" si="6"/>
        <v>47.874000000000002</v>
      </c>
      <c r="Q11" s="15">
        <v>58.308999999999997</v>
      </c>
      <c r="R11" s="23">
        <f>R94</f>
        <v>69.526281391427119</v>
      </c>
      <c r="S11" s="23">
        <f t="shared" ref="S11:AD11" si="10">S94</f>
        <v>65.357509140421897</v>
      </c>
      <c r="T11" s="23">
        <f t="shared" si="10"/>
        <v>59.055508808483864</v>
      </c>
      <c r="U11" s="23">
        <f t="shared" si="10"/>
        <v>59.055508808483864</v>
      </c>
      <c r="V11" s="23">
        <f t="shared" si="10"/>
        <v>68.82572235287293</v>
      </c>
      <c r="W11" s="23">
        <f t="shared" si="10"/>
        <v>79.370714226989378</v>
      </c>
      <c r="X11" s="23">
        <f t="shared" si="10"/>
        <v>87.309312715504774</v>
      </c>
      <c r="Y11" s="23">
        <f t="shared" si="10"/>
        <v>95.975206497126933</v>
      </c>
      <c r="Z11" s="23">
        <f t="shared" si="10"/>
        <v>105.43167107547252</v>
      </c>
      <c r="AA11" s="23">
        <f t="shared" si="10"/>
        <v>115.74730282091274</v>
      </c>
      <c r="AB11" s="23">
        <f t="shared" si="10"/>
        <v>126.99645576825543</v>
      </c>
      <c r="AC11" s="23">
        <f t="shared" si="10"/>
        <v>139.2597136368486</v>
      </c>
      <c r="AD11" s="23">
        <f t="shared" si="10"/>
        <v>152.62439987459152</v>
      </c>
    </row>
    <row r="12" spans="1:30" s="11" customFormat="1">
      <c r="B12" s="40" t="s">
        <v>45</v>
      </c>
      <c r="D12" s="16">
        <f>SUM(D13:D18)</f>
        <v>735.05799999999999</v>
      </c>
      <c r="E12" s="16">
        <f t="shared" ref="E12:Q12" si="11">SUM(E13:E18)</f>
        <v>1126.8270000000002</v>
      </c>
      <c r="F12" s="16">
        <f t="shared" si="11"/>
        <v>1950.3159999999998</v>
      </c>
      <c r="G12" s="16">
        <f t="shared" si="11"/>
        <v>1953.2830000000001</v>
      </c>
      <c r="H12" s="16">
        <f t="shared" si="11"/>
        <v>2029.789</v>
      </c>
      <c r="I12" s="16">
        <f t="shared" si="11"/>
        <v>2331.0240000000003</v>
      </c>
      <c r="J12" s="16">
        <f t="shared" si="11"/>
        <v>3161.181</v>
      </c>
      <c r="K12" s="42">
        <f t="shared" si="11"/>
        <v>3161.181</v>
      </c>
      <c r="L12" s="16">
        <f t="shared" si="11"/>
        <v>3740.1729999999998</v>
      </c>
      <c r="M12" s="16">
        <f t="shared" si="11"/>
        <v>4072.8779999999997</v>
      </c>
      <c r="N12" s="16">
        <f t="shared" si="11"/>
        <v>5181.6780000000008</v>
      </c>
      <c r="O12" s="16">
        <f t="shared" si="11"/>
        <v>5392.95</v>
      </c>
      <c r="P12" s="42">
        <f t="shared" si="11"/>
        <v>5392.95</v>
      </c>
      <c r="Q12" s="16">
        <f t="shared" si="11"/>
        <v>5488.2969999999996</v>
      </c>
      <c r="R12" s="42">
        <f>SUM(R13:R18)</f>
        <v>5351.700350387081</v>
      </c>
      <c r="S12" s="42">
        <f t="shared" ref="S12:AD12" si="12">SUM(S13:S18)</f>
        <v>5442.3050781659986</v>
      </c>
      <c r="T12" s="42">
        <f t="shared" si="12"/>
        <v>5656.0884669876568</v>
      </c>
      <c r="U12" s="42">
        <f t="shared" si="12"/>
        <v>5656.0884669876568</v>
      </c>
      <c r="V12" s="42">
        <f t="shared" si="12"/>
        <v>5855.7137618966663</v>
      </c>
      <c r="W12" s="42">
        <f t="shared" si="12"/>
        <v>6005.0179373781648</v>
      </c>
      <c r="X12" s="42">
        <f t="shared" si="12"/>
        <v>6126.9611449634349</v>
      </c>
      <c r="Y12" s="42">
        <f t="shared" si="12"/>
        <v>6263.0093399317266</v>
      </c>
      <c r="Z12" s="42">
        <f t="shared" si="12"/>
        <v>6414.1683249394046</v>
      </c>
      <c r="AA12" s="42">
        <f t="shared" si="12"/>
        <v>6581.5028147396197</v>
      </c>
      <c r="AB12" s="42">
        <f t="shared" si="12"/>
        <v>6766.1481890663445</v>
      </c>
      <c r="AC12" s="42">
        <f t="shared" si="12"/>
        <v>6969.3219456778361</v>
      </c>
      <c r="AD12" s="42">
        <f t="shared" si="12"/>
        <v>7130.6683555689551</v>
      </c>
    </row>
    <row r="13" spans="1:30">
      <c r="B13" s="39" t="s">
        <v>47</v>
      </c>
      <c r="D13" s="15">
        <v>22.4</v>
      </c>
      <c r="E13" s="15">
        <v>30.856000000000002</v>
      </c>
      <c r="F13" s="15">
        <v>66.3</v>
      </c>
      <c r="G13" s="15">
        <v>68.69</v>
      </c>
      <c r="H13" s="15">
        <v>103.58</v>
      </c>
      <c r="I13" s="15">
        <v>118.86199999999999</v>
      </c>
      <c r="J13" s="15">
        <v>113.25</v>
      </c>
      <c r="K13" s="23">
        <f>J13</f>
        <v>113.25</v>
      </c>
      <c r="L13" s="15">
        <v>93.703000000000003</v>
      </c>
      <c r="M13" s="15">
        <v>87.87299999999999</v>
      </c>
      <c r="N13" s="15">
        <v>100.33799999999999</v>
      </c>
      <c r="O13" s="15">
        <v>91.498000000000005</v>
      </c>
      <c r="P13" s="23">
        <f>O13</f>
        <v>91.498000000000005</v>
      </c>
      <c r="Q13" s="15">
        <v>91.361000000000004</v>
      </c>
      <c r="R13" s="23">
        <f>R97</f>
        <v>129.20825067060474</v>
      </c>
      <c r="S13" s="23">
        <f t="shared" ref="S13:AD13" si="13">S97</f>
        <v>123.15427054276422</v>
      </c>
      <c r="T13" s="23">
        <f t="shared" si="13"/>
        <v>112.86838252409778</v>
      </c>
      <c r="U13" s="23">
        <f t="shared" si="13"/>
        <v>112.86838252409778</v>
      </c>
      <c r="V13" s="23">
        <f t="shared" si="13"/>
        <v>131.54146183404706</v>
      </c>
      <c r="W13" s="23">
        <f t="shared" si="13"/>
        <v>151.69531708946559</v>
      </c>
      <c r="X13" s="23">
        <f t="shared" si="13"/>
        <v>166.86776736523493</v>
      </c>
      <c r="Y13" s="23">
        <f t="shared" si="13"/>
        <v>183.43024280557549</v>
      </c>
      <c r="Z13" s="23">
        <f t="shared" si="13"/>
        <v>201.50367715385357</v>
      </c>
      <c r="AA13" s="23">
        <f t="shared" si="13"/>
        <v>221.21917352859327</v>
      </c>
      <c r="AB13" s="23">
        <f t="shared" si="13"/>
        <v>242.71883924225753</v>
      </c>
      <c r="AC13" s="23">
        <f t="shared" si="13"/>
        <v>266.15668793801177</v>
      </c>
      <c r="AD13" s="23">
        <f t="shared" si="13"/>
        <v>291.69961439874209</v>
      </c>
    </row>
    <row r="14" spans="1:30">
      <c r="B14" s="39" t="s">
        <v>46</v>
      </c>
      <c r="D14" s="15">
        <v>19.989000000000001</v>
      </c>
      <c r="E14" s="15">
        <v>17.925999999999998</v>
      </c>
      <c r="F14" s="15">
        <v>31.4</v>
      </c>
      <c r="G14" s="15">
        <v>36.752000000000002</v>
      </c>
      <c r="H14" s="15">
        <v>40.659999999999997</v>
      </c>
      <c r="I14" s="15">
        <v>43.478999999999999</v>
      </c>
      <c r="J14" s="15">
        <v>33.423999999999999</v>
      </c>
      <c r="K14" s="23">
        <f t="shared" ref="K14:K18" si="14">J14</f>
        <v>33.423999999999999</v>
      </c>
      <c r="L14" s="15">
        <v>29.067</v>
      </c>
      <c r="M14" s="15">
        <v>28.2</v>
      </c>
      <c r="N14" s="15">
        <v>91.781000000000006</v>
      </c>
      <c r="O14" s="15">
        <v>223.428</v>
      </c>
      <c r="P14" s="23">
        <f t="shared" ref="P14:P18" si="15">O14</f>
        <v>223.428</v>
      </c>
      <c r="Q14" s="15">
        <v>250.691</v>
      </c>
      <c r="R14" s="23">
        <f>R100</f>
        <v>41.465213079228597</v>
      </c>
      <c r="S14" s="23">
        <f t="shared" ref="S14:AD14" si="16">S100</f>
        <v>112.6514591150456</v>
      </c>
      <c r="T14" s="23">
        <f t="shared" si="16"/>
        <v>275.61211141876453</v>
      </c>
      <c r="U14" s="23">
        <f t="shared" si="16"/>
        <v>275.61211141876453</v>
      </c>
      <c r="V14" s="23">
        <f t="shared" si="16"/>
        <v>321.20970660186521</v>
      </c>
      <c r="W14" s="23">
        <f t="shared" si="16"/>
        <v>370.42319292951879</v>
      </c>
      <c r="X14" s="23">
        <f t="shared" si="16"/>
        <v>407.47263903997583</v>
      </c>
      <c r="Y14" s="23">
        <f t="shared" si="16"/>
        <v>447.9163729214203</v>
      </c>
      <c r="Z14" s="23">
        <f t="shared" si="16"/>
        <v>492.04970140474313</v>
      </c>
      <c r="AA14" s="23">
        <f t="shared" si="16"/>
        <v>540.19276381064651</v>
      </c>
      <c r="AB14" s="23">
        <f t="shared" si="16"/>
        <v>592.69257048480961</v>
      </c>
      <c r="AC14" s="23">
        <f t="shared" si="16"/>
        <v>649.9252057161259</v>
      </c>
      <c r="AD14" s="23">
        <f t="shared" si="16"/>
        <v>712.29820811255036</v>
      </c>
    </row>
    <row r="15" spans="1:30">
      <c r="B15" s="39" t="s">
        <v>48</v>
      </c>
      <c r="D15" s="15">
        <v>259.66199999999998</v>
      </c>
      <c r="E15" s="15">
        <v>315.11200000000002</v>
      </c>
      <c r="F15" s="15">
        <v>393.8</v>
      </c>
      <c r="G15" s="15">
        <v>393.39400000000001</v>
      </c>
      <c r="H15" s="15">
        <v>384.65199999999999</v>
      </c>
      <c r="I15" s="15">
        <v>404.30700000000002</v>
      </c>
      <c r="J15" s="15">
        <v>477.916</v>
      </c>
      <c r="K15" s="23">
        <f>J15</f>
        <v>477.916</v>
      </c>
      <c r="L15" s="15">
        <v>579.779</v>
      </c>
      <c r="M15" s="15">
        <v>599.77</v>
      </c>
      <c r="N15" s="15">
        <v>673.16700000000003</v>
      </c>
      <c r="O15" s="15">
        <v>706.78300000000002</v>
      </c>
      <c r="P15" s="23">
        <f t="shared" si="15"/>
        <v>706.78300000000002</v>
      </c>
      <c r="Q15" s="15">
        <v>718.88599999999997</v>
      </c>
      <c r="R15" s="23">
        <f>'Capex and D&amp;A'!V50</f>
        <v>781.52973342360758</v>
      </c>
      <c r="S15" s="23">
        <f>'Capex and D&amp;A'!W50</f>
        <v>844.1734668472152</v>
      </c>
      <c r="T15" s="23">
        <f t="shared" ref="T15:T16" si="17">U15</f>
        <v>906.81420027082288</v>
      </c>
      <c r="U15" s="23">
        <f>'Capex and D&amp;A'!Y50</f>
        <v>906.81420027082288</v>
      </c>
      <c r="V15" s="23">
        <f>'Capex and D&amp;A'!Z50</f>
        <v>1047.271449179631</v>
      </c>
      <c r="W15" s="23">
        <f>'Capex and D&amp;A'!AA50</f>
        <v>1132.8665684596951</v>
      </c>
      <c r="X15" s="23">
        <f>'Capex and D&amp;A'!AB50</f>
        <v>1224.6552931605215</v>
      </c>
      <c r="Y15" s="23">
        <f>'Capex and D&amp;A'!AC50</f>
        <v>1318.6769406576909</v>
      </c>
      <c r="Z15" s="23">
        <f>'Capex and D&amp;A'!AD50</f>
        <v>1415.8399469426204</v>
      </c>
      <c r="AA15" s="23">
        <f>'Capex and D&amp;A'!AE50</f>
        <v>1517.0308402200453</v>
      </c>
      <c r="AB15" s="23">
        <f>'Capex and D&amp;A'!AF50</f>
        <v>1623.1254551087313</v>
      </c>
      <c r="AC15" s="23">
        <f>'Capex and D&amp;A'!AG50</f>
        <v>1734.9993074163517</v>
      </c>
      <c r="AD15" s="23">
        <f>'Capex and D&amp;A'!AH50</f>
        <v>1791.8706296919859</v>
      </c>
    </row>
    <row r="16" spans="1:30">
      <c r="B16" s="39" t="s">
        <v>49</v>
      </c>
      <c r="D16" s="15">
        <v>399.62099999999998</v>
      </c>
      <c r="E16" s="15">
        <v>619.36900000000003</v>
      </c>
      <c r="F16" s="15">
        <v>1208.5999999999999</v>
      </c>
      <c r="G16" s="15">
        <v>1211.6980000000001</v>
      </c>
      <c r="H16" s="15">
        <v>1257.3969999999999</v>
      </c>
      <c r="I16" s="15">
        <v>1501.827</v>
      </c>
      <c r="J16" s="15">
        <v>2238.4090000000001</v>
      </c>
      <c r="K16" s="23">
        <f>J16</f>
        <v>2238.4090000000001</v>
      </c>
      <c r="L16" s="15">
        <v>2719.913</v>
      </c>
      <c r="M16" s="15">
        <v>2963.9839999999999</v>
      </c>
      <c r="N16" s="15">
        <v>3889.393</v>
      </c>
      <c r="O16" s="15">
        <v>3914.4639999999999</v>
      </c>
      <c r="P16" s="23">
        <f t="shared" si="15"/>
        <v>3914.4639999999999</v>
      </c>
      <c r="Q16" s="15">
        <v>3979.82</v>
      </c>
      <c r="R16" s="23">
        <f>'Capex and D&amp;A'!V52</f>
        <v>3937.6312730666668</v>
      </c>
      <c r="S16" s="23">
        <f>'Capex and D&amp;A'!W52</f>
        <v>3895.4425461333335</v>
      </c>
      <c r="T16" s="23">
        <f t="shared" si="17"/>
        <v>3852.8978192</v>
      </c>
      <c r="U16" s="23">
        <f>'Capex and D&amp;A'!Y52</f>
        <v>3852.8978192</v>
      </c>
      <c r="V16" s="23">
        <f>'Capex and D&amp;A'!Z52</f>
        <v>3792.4643204847198</v>
      </c>
      <c r="W16" s="23">
        <f>'Capex and D&amp;A'!AA52</f>
        <v>3738.3828992946187</v>
      </c>
      <c r="X16" s="23">
        <f>'Capex and D&amp;A'!AB52</f>
        <v>3690.737193399701</v>
      </c>
      <c r="Y16" s="23">
        <f>'Capex and D&amp;A'!AC52</f>
        <v>3649.0709167239233</v>
      </c>
      <c r="Z16" s="23">
        <f>'Capex and D&amp;A'!AD52</f>
        <v>3612.9687700672907</v>
      </c>
      <c r="AA16" s="23">
        <f>'Capex and D&amp;A'!AE52</f>
        <v>3582.0531638004168</v>
      </c>
      <c r="AB16" s="23">
        <f>'Capex and D&amp;A'!AF52</f>
        <v>3555.9812175596417</v>
      </c>
      <c r="AC16" s="23">
        <f>'Capex and D&amp;A'!AG52</f>
        <v>3534.4420141510377</v>
      </c>
      <c r="AD16" s="23">
        <f>'Capex and D&amp;A'!AH52</f>
        <v>3517.1540867713015</v>
      </c>
    </row>
    <row r="17" spans="2:30">
      <c r="B17" s="39" t="s">
        <v>50</v>
      </c>
      <c r="D17" s="15">
        <v>0</v>
      </c>
      <c r="E17" s="15">
        <v>123.01900000000001</v>
      </c>
      <c r="F17" s="15">
        <v>220.6</v>
      </c>
      <c r="G17" s="15">
        <v>212.233</v>
      </c>
      <c r="H17" s="15">
        <v>204.49600000000001</v>
      </c>
      <c r="I17" s="15">
        <v>222.99</v>
      </c>
      <c r="J17" s="15">
        <v>251.15100000000001</v>
      </c>
      <c r="K17" s="23">
        <f>J17</f>
        <v>251.15100000000001</v>
      </c>
      <c r="L17" s="15">
        <v>269.10399999999998</v>
      </c>
      <c r="M17" s="15">
        <v>341.14800000000002</v>
      </c>
      <c r="N17" s="15">
        <v>373.91199999999998</v>
      </c>
      <c r="O17" s="15">
        <v>383.822</v>
      </c>
      <c r="P17" s="23">
        <f t="shared" si="15"/>
        <v>383.822</v>
      </c>
      <c r="Q17" s="15">
        <v>369.37099999999998</v>
      </c>
      <c r="R17" s="23">
        <f>Q17*'Build-Up'!V16/'Build-Up'!U16</f>
        <v>385.5478321167883</v>
      </c>
      <c r="S17" s="23">
        <f>R17*'Build-Up'!W16/'Build-Up'!V16</f>
        <v>401.72466423357662</v>
      </c>
      <c r="T17" s="23">
        <f>S17*'Build-Up'!X16/'Build-Up'!W16</f>
        <v>417.90149635036494</v>
      </c>
      <c r="U17" s="23">
        <f>T17*'Build-Up'!Y16/'Build-Up'!X16</f>
        <v>417.90149635036494</v>
      </c>
      <c r="V17" s="23">
        <f>U17*'Build-Up'!Z16/'Build-Up'!Y16</f>
        <v>458.34357664233579</v>
      </c>
      <c r="W17" s="23">
        <f>V17*'Build-Up'!AA16/'Build-Up'!Z16</f>
        <v>490.69724087591243</v>
      </c>
      <c r="X17" s="23">
        <f>W17*'Build-Up'!AB16/'Build-Up'!AA16</f>
        <v>504.17793430656934</v>
      </c>
      <c r="Y17" s="23">
        <f>X17*'Build-Up'!AC16/'Build-Up'!AB16</f>
        <v>517.65862773722631</v>
      </c>
      <c r="Z17" s="23">
        <f>Y17*'Build-Up'!AD16/'Build-Up'!AC16</f>
        <v>531.13932116788328</v>
      </c>
      <c r="AA17" s="23">
        <f>Z17*'Build-Up'!AE16/'Build-Up'!AD16</f>
        <v>544.62001459854025</v>
      </c>
      <c r="AB17" s="23">
        <f>AA17*'Build-Up'!AF16/'Build-Up'!AE16</f>
        <v>558.10070802919722</v>
      </c>
      <c r="AC17" s="23">
        <f>AB17*'Build-Up'!AG16/'Build-Up'!AF16</f>
        <v>571.58140145985419</v>
      </c>
      <c r="AD17" s="23">
        <f>AC17*'Build-Up'!AH16/'Build-Up'!AG16</f>
        <v>585.06209489051116</v>
      </c>
    </row>
    <row r="18" spans="2:30">
      <c r="B18" s="39" t="s">
        <v>79</v>
      </c>
      <c r="D18" s="15">
        <v>33.386000000000003</v>
      </c>
      <c r="E18" s="15">
        <v>20.544999999999998</v>
      </c>
      <c r="F18" s="15">
        <v>29.616</v>
      </c>
      <c r="G18" s="15">
        <v>30.515999999999998</v>
      </c>
      <c r="H18" s="15">
        <v>39.003999999999998</v>
      </c>
      <c r="I18" s="15">
        <v>39.558999999999997</v>
      </c>
      <c r="J18" s="15">
        <v>47.030999999999999</v>
      </c>
      <c r="K18" s="23">
        <f t="shared" si="14"/>
        <v>47.030999999999999</v>
      </c>
      <c r="L18" s="15">
        <v>48.606999999999999</v>
      </c>
      <c r="M18" s="15">
        <v>51.902999999999999</v>
      </c>
      <c r="N18" s="15">
        <v>53.086999999999996</v>
      </c>
      <c r="O18" s="15">
        <v>72.955000000000013</v>
      </c>
      <c r="P18" s="23">
        <f t="shared" si="15"/>
        <v>72.955000000000013</v>
      </c>
      <c r="Q18" s="15">
        <v>78.168000000000006</v>
      </c>
      <c r="R18" s="23">
        <f>R103</f>
        <v>76.318048030184457</v>
      </c>
      <c r="S18" s="23">
        <f t="shared" ref="S18:AD18" si="18">S103</f>
        <v>65.158671294063296</v>
      </c>
      <c r="T18" s="23">
        <f t="shared" si="18"/>
        <v>89.994457223606574</v>
      </c>
      <c r="U18" s="23">
        <f t="shared" si="18"/>
        <v>89.994457223606574</v>
      </c>
      <c r="V18" s="23">
        <f t="shared" si="18"/>
        <v>104.88324715406787</v>
      </c>
      <c r="W18" s="23">
        <f t="shared" si="18"/>
        <v>120.9527187289554</v>
      </c>
      <c r="X18" s="23">
        <f t="shared" si="18"/>
        <v>133.05031769143275</v>
      </c>
      <c r="Y18" s="23">
        <f t="shared" si="18"/>
        <v>146.25623908588997</v>
      </c>
      <c r="Z18" s="23">
        <f t="shared" si="18"/>
        <v>160.66690820301412</v>
      </c>
      <c r="AA18" s="23">
        <f t="shared" si="18"/>
        <v>176.38685878137795</v>
      </c>
      <c r="AB18" s="23">
        <f t="shared" si="18"/>
        <v>193.52939864170688</v>
      </c>
      <c r="AC18" s="23">
        <f t="shared" si="18"/>
        <v>212.21732899645508</v>
      </c>
      <c r="AD18" s="23">
        <f t="shared" si="18"/>
        <v>232.58372170386485</v>
      </c>
    </row>
    <row r="19" spans="2:30"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2:30">
      <c r="B20" s="25" t="s">
        <v>51</v>
      </c>
      <c r="C20" s="27"/>
      <c r="D20" s="26">
        <f t="shared" ref="D20:Q20" si="19">SUM(D21,D37)</f>
        <v>1367.673</v>
      </c>
      <c r="E20" s="26">
        <f t="shared" si="19"/>
        <v>2110.2849999999999</v>
      </c>
      <c r="F20" s="26">
        <f t="shared" si="19"/>
        <v>3362.5699999999997</v>
      </c>
      <c r="G20" s="26">
        <f t="shared" si="19"/>
        <v>3321.8020000000001</v>
      </c>
      <c r="H20" s="26">
        <f t="shared" si="19"/>
        <v>3114.4360000000001</v>
      </c>
      <c r="I20" s="26">
        <f t="shared" si="19"/>
        <v>4970.3020000000006</v>
      </c>
      <c r="J20" s="26">
        <f t="shared" si="19"/>
        <v>6032.4100000000008</v>
      </c>
      <c r="K20" s="26">
        <f t="shared" si="19"/>
        <v>6032.4100000000008</v>
      </c>
      <c r="L20" s="26">
        <f t="shared" si="19"/>
        <v>6281.6200000000008</v>
      </c>
      <c r="M20" s="26">
        <f t="shared" si="19"/>
        <v>6414.1649999999991</v>
      </c>
      <c r="N20" s="26">
        <f t="shared" si="19"/>
        <v>7274.4959999999992</v>
      </c>
      <c r="O20" s="26">
        <f t="shared" si="19"/>
        <v>8219.7789999999986</v>
      </c>
      <c r="P20" s="26">
        <f t="shared" si="19"/>
        <v>8219.7789999999986</v>
      </c>
      <c r="Q20" s="26">
        <f t="shared" si="19"/>
        <v>8267.2569999999996</v>
      </c>
      <c r="R20" s="26">
        <f ca="1">R21+R37</f>
        <v>8230.6775663662538</v>
      </c>
      <c r="S20" s="26">
        <f t="shared" ref="S20:AD20" ca="1" si="20">S21+S37</f>
        <v>8169.7283821264245</v>
      </c>
      <c r="T20" s="26">
        <f t="shared" ca="1" si="20"/>
        <v>8725.753841072612</v>
      </c>
      <c r="U20" s="26">
        <f t="shared" ca="1" si="20"/>
        <v>8725.753841072612</v>
      </c>
      <c r="V20" s="26">
        <f t="shared" ca="1" si="20"/>
        <v>9305.9219885824787</v>
      </c>
      <c r="W20" s="26">
        <f t="shared" ca="1" si="20"/>
        <v>9963.1481870837306</v>
      </c>
      <c r="X20" s="26">
        <f t="shared" ca="1" si="20"/>
        <v>10675.133452205842</v>
      </c>
      <c r="Y20" s="26">
        <f t="shared" ca="1" si="20"/>
        <v>11491.190944941969</v>
      </c>
      <c r="Z20" s="26">
        <f t="shared" ca="1" si="20"/>
        <v>12640.603276908449</v>
      </c>
      <c r="AA20" s="26">
        <f t="shared" ca="1" si="20"/>
        <v>13995.410297236711</v>
      </c>
      <c r="AB20" s="26">
        <f t="shared" ca="1" si="20"/>
        <v>15581.434320897613</v>
      </c>
      <c r="AC20" s="26">
        <f t="shared" ca="1" si="20"/>
        <v>17428.077789415081</v>
      </c>
      <c r="AD20" s="26">
        <f t="shared" ca="1" si="20"/>
        <v>19571.466262478833</v>
      </c>
    </row>
    <row r="21" spans="2:30">
      <c r="B21" s="316" t="s">
        <v>52</v>
      </c>
      <c r="C21" s="27"/>
      <c r="D21" s="41">
        <f>SUM(D22,D31)</f>
        <v>897.54899999999998</v>
      </c>
      <c r="E21" s="41">
        <f t="shared" ref="E21:Q21" si="21">SUM(E22,E31)</f>
        <v>1453.9139999999998</v>
      </c>
      <c r="F21" s="41">
        <f t="shared" si="21"/>
        <v>2685.47</v>
      </c>
      <c r="G21" s="41">
        <f t="shared" si="21"/>
        <v>2631.1950000000002</v>
      </c>
      <c r="H21" s="41">
        <f t="shared" si="21"/>
        <v>2893.27</v>
      </c>
      <c r="I21" s="41">
        <f t="shared" si="21"/>
        <v>2948.9630000000002</v>
      </c>
      <c r="J21" s="41">
        <f t="shared" si="21"/>
        <v>3727.4670000000006</v>
      </c>
      <c r="K21" s="41">
        <f t="shared" si="21"/>
        <v>3727.4670000000006</v>
      </c>
      <c r="L21" s="41">
        <f t="shared" si="21"/>
        <v>3930.4010000000003</v>
      </c>
      <c r="M21" s="41">
        <f t="shared" si="21"/>
        <v>4114.0959999999995</v>
      </c>
      <c r="N21" s="41">
        <f t="shared" si="21"/>
        <v>4729.8890000000001</v>
      </c>
      <c r="O21" s="41">
        <f t="shared" si="21"/>
        <v>5587.3230000000003</v>
      </c>
      <c r="P21" s="41">
        <f t="shared" si="21"/>
        <v>5587.3230000000003</v>
      </c>
      <c r="Q21" s="41">
        <f t="shared" si="21"/>
        <v>5717.7739999999994</v>
      </c>
      <c r="R21" s="41">
        <f>R22+R31</f>
        <v>5679.0839818726427</v>
      </c>
      <c r="S21" s="41">
        <f t="shared" ref="S21:AD21" si="22">S22+S31</f>
        <v>5558.1655787328691</v>
      </c>
      <c r="T21" s="41">
        <f t="shared" si="22"/>
        <v>6074.1551114170343</v>
      </c>
      <c r="U21" s="41">
        <f t="shared" si="22"/>
        <v>6074.1551114170343</v>
      </c>
      <c r="V21" s="41">
        <f t="shared" si="22"/>
        <v>6336.8520675970631</v>
      </c>
      <c r="W21" s="41">
        <f t="shared" si="22"/>
        <v>6530.3273784923686</v>
      </c>
      <c r="X21" s="41">
        <f t="shared" si="22"/>
        <v>6661.3795282766287</v>
      </c>
      <c r="Y21" s="41">
        <f t="shared" si="22"/>
        <v>6765.0643519796058</v>
      </c>
      <c r="Z21" s="41">
        <f t="shared" si="22"/>
        <v>7042.8457061745885</v>
      </c>
      <c r="AA21" s="41">
        <f t="shared" si="22"/>
        <v>7344.7833717447074</v>
      </c>
      <c r="AB21" s="41">
        <f t="shared" si="22"/>
        <v>7672.2401285689848</v>
      </c>
      <c r="AC21" s="41">
        <f t="shared" si="22"/>
        <v>8027.3837599897997</v>
      </c>
      <c r="AD21" s="41">
        <f t="shared" si="22"/>
        <v>8412.5615608496246</v>
      </c>
    </row>
    <row r="22" spans="2:30">
      <c r="B22" s="40" t="s">
        <v>53</v>
      </c>
      <c r="D22" s="16">
        <f>SUM(D23:D30)</f>
        <v>447.48799999999994</v>
      </c>
      <c r="E22" s="16">
        <f t="shared" ref="E22:Q22" si="23">SUM(E23:E30)</f>
        <v>916.05299999999988</v>
      </c>
      <c r="F22" s="16">
        <f t="shared" si="23"/>
        <v>1013.879</v>
      </c>
      <c r="G22" s="16">
        <f t="shared" si="23"/>
        <v>858.80000000000007</v>
      </c>
      <c r="H22" s="16">
        <f t="shared" si="23"/>
        <v>939.91100000000006</v>
      </c>
      <c r="I22" s="16">
        <f t="shared" si="23"/>
        <v>1107.0070000000001</v>
      </c>
      <c r="J22" s="16">
        <f t="shared" si="23"/>
        <v>1190.7220000000002</v>
      </c>
      <c r="K22" s="42">
        <f t="shared" si="23"/>
        <v>1190.7220000000002</v>
      </c>
      <c r="L22" s="16">
        <f t="shared" si="23"/>
        <v>1275.694</v>
      </c>
      <c r="M22" s="16">
        <f t="shared" si="23"/>
        <v>1170.8599999999999</v>
      </c>
      <c r="N22" s="16">
        <f t="shared" si="23"/>
        <v>1476.7380000000003</v>
      </c>
      <c r="O22" s="16">
        <f t="shared" si="23"/>
        <v>1883.279</v>
      </c>
      <c r="P22" s="42">
        <f t="shared" si="23"/>
        <v>1883.279</v>
      </c>
      <c r="Q22" s="16">
        <f t="shared" si="23"/>
        <v>1629.0530000000003</v>
      </c>
      <c r="R22" s="42">
        <f>SUM(R23:R30)</f>
        <v>1645.6500499156798</v>
      </c>
      <c r="S22" s="42">
        <f t="shared" ref="S22:AD22" si="24">SUM(S23:S30)</f>
        <v>1596.362618889166</v>
      </c>
      <c r="T22" s="42">
        <f t="shared" si="24"/>
        <v>2085.2146655453412</v>
      </c>
      <c r="U22" s="42">
        <f t="shared" si="24"/>
        <v>2085.2146655453412</v>
      </c>
      <c r="V22" s="42">
        <f t="shared" si="24"/>
        <v>2417.8774104641611</v>
      </c>
      <c r="W22" s="42">
        <f t="shared" si="24"/>
        <v>2654.5903089596222</v>
      </c>
      <c r="X22" s="42">
        <f t="shared" si="24"/>
        <v>2900.0413410362835</v>
      </c>
      <c r="Y22" s="42">
        <f t="shared" si="24"/>
        <v>2963.5098419438309</v>
      </c>
      <c r="Z22" s="42">
        <f t="shared" si="24"/>
        <v>3196.9473116849513</v>
      </c>
      <c r="AA22" s="42">
        <f t="shared" si="24"/>
        <v>3451.8995545942525</v>
      </c>
      <c r="AB22" s="42">
        <f t="shared" si="24"/>
        <v>3729.1127762432711</v>
      </c>
      <c r="AC22" s="42">
        <f t="shared" si="24"/>
        <v>4030.4779914184019</v>
      </c>
      <c r="AD22" s="42">
        <f t="shared" si="24"/>
        <v>4358.0428075388809</v>
      </c>
    </row>
    <row r="23" spans="2:30">
      <c r="B23" s="39" t="s">
        <v>54</v>
      </c>
      <c r="D23" s="15">
        <v>212.834</v>
      </c>
      <c r="E23" s="15">
        <v>267.81700000000001</v>
      </c>
      <c r="F23" s="15">
        <v>345.80099999999999</v>
      </c>
      <c r="G23" s="15">
        <v>370.38499999999999</v>
      </c>
      <c r="H23" s="15">
        <v>308.38600000000002</v>
      </c>
      <c r="I23" s="15">
        <v>373.60700000000003</v>
      </c>
      <c r="J23" s="15">
        <v>427.339</v>
      </c>
      <c r="K23" s="23">
        <f>J23</f>
        <v>427.339</v>
      </c>
      <c r="L23" s="15">
        <v>409.45</v>
      </c>
      <c r="M23" s="15">
        <v>337.01400000000001</v>
      </c>
      <c r="N23" s="15">
        <v>483.69499999999999</v>
      </c>
      <c r="O23" s="15">
        <v>788.56600000000003</v>
      </c>
      <c r="P23" s="23">
        <f>O23</f>
        <v>788.56600000000003</v>
      </c>
      <c r="Q23" s="15">
        <v>531.27300000000002</v>
      </c>
      <c r="R23" s="23">
        <f>R71</f>
        <v>538.95234923110627</v>
      </c>
      <c r="S23" s="23">
        <f t="shared" ref="S23:AD23" si="25">S71</f>
        <v>595.16566523357801</v>
      </c>
      <c r="T23" s="23">
        <f t="shared" si="25"/>
        <v>1052.8441608718049</v>
      </c>
      <c r="U23" s="23">
        <f t="shared" si="25"/>
        <v>1052.8441608718049</v>
      </c>
      <c r="V23" s="23">
        <f t="shared" si="25"/>
        <v>1231.5610085406663</v>
      </c>
      <c r="W23" s="23">
        <f t="shared" si="25"/>
        <v>1415.3787102427721</v>
      </c>
      <c r="X23" s="23">
        <f t="shared" si="25"/>
        <v>1552.656535283174</v>
      </c>
      <c r="Y23" s="23">
        <f t="shared" si="25"/>
        <v>1702.1843690169176</v>
      </c>
      <c r="Z23" s="23">
        <f t="shared" si="25"/>
        <v>1865.0093097907391</v>
      </c>
      <c r="AA23" s="23">
        <f t="shared" si="25"/>
        <v>2042.2655471915778</v>
      </c>
      <c r="AB23" s="23">
        <f t="shared" si="25"/>
        <v>2235.1814648027171</v>
      </c>
      <c r="AC23" s="23">
        <f t="shared" si="25"/>
        <v>2445.0873135162742</v>
      </c>
      <c r="AD23" s="23">
        <f t="shared" si="25"/>
        <v>2673.4235006816457</v>
      </c>
    </row>
    <row r="24" spans="2:30">
      <c r="B24" s="39" t="s">
        <v>55</v>
      </c>
      <c r="D24" s="15">
        <v>71.623000000000005</v>
      </c>
      <c r="E24" s="15">
        <v>400.7</v>
      </c>
      <c r="F24" s="15">
        <v>241.876</v>
      </c>
      <c r="G24" s="15">
        <v>157.845</v>
      </c>
      <c r="H24" s="15">
        <v>284.60399999999998</v>
      </c>
      <c r="I24" s="15">
        <v>302.67099999999999</v>
      </c>
      <c r="J24" s="15">
        <v>358.46800000000002</v>
      </c>
      <c r="K24" s="23">
        <f t="shared" ref="K24:K30" si="26">J24</f>
        <v>358.46800000000002</v>
      </c>
      <c r="L24" s="15">
        <v>350.87200000000001</v>
      </c>
      <c r="M24" s="15">
        <v>211.458</v>
      </c>
      <c r="N24" s="15">
        <v>350.76400000000001</v>
      </c>
      <c r="O24" s="15">
        <v>349.96699999999998</v>
      </c>
      <c r="P24" s="23">
        <f t="shared" ref="P24:P30" si="27">O24</f>
        <v>349.96699999999998</v>
      </c>
      <c r="Q24" s="15">
        <v>428.56900000000002</v>
      </c>
      <c r="R24" s="23">
        <v>428.56900000000002</v>
      </c>
      <c r="S24" s="23">
        <v>428.56900000000002</v>
      </c>
      <c r="T24" s="23">
        <v>428.56900000000002</v>
      </c>
      <c r="U24" s="23">
        <v>428.56900000000002</v>
      </c>
      <c r="V24" s="23">
        <v>428.56900000000002</v>
      </c>
      <c r="W24" s="23">
        <v>428.56900000000002</v>
      </c>
      <c r="X24" s="23">
        <v>428.56900000000002</v>
      </c>
      <c r="Y24" s="23">
        <v>428.56900000000002</v>
      </c>
      <c r="Z24" s="23">
        <v>428.56900000000002</v>
      </c>
      <c r="AA24" s="23">
        <v>428.56900000000002</v>
      </c>
      <c r="AB24" s="23">
        <v>428.56900000000002</v>
      </c>
      <c r="AC24" s="23">
        <v>428.56900000000002</v>
      </c>
      <c r="AD24" s="23">
        <v>428.56900000000002</v>
      </c>
    </row>
    <row r="25" spans="2:30">
      <c r="B25" s="39" t="s">
        <v>76</v>
      </c>
      <c r="D25" s="15">
        <v>32.170999999999999</v>
      </c>
      <c r="E25" s="15">
        <v>44.582999999999998</v>
      </c>
      <c r="F25" s="15">
        <v>63.7</v>
      </c>
      <c r="G25" s="15">
        <v>63.85</v>
      </c>
      <c r="H25" s="15">
        <v>69.19</v>
      </c>
      <c r="I25" s="15">
        <v>80.33</v>
      </c>
      <c r="J25" s="15">
        <v>80.137</v>
      </c>
      <c r="K25" s="23">
        <f t="shared" si="26"/>
        <v>80.137</v>
      </c>
      <c r="L25" s="15">
        <v>90.637</v>
      </c>
      <c r="M25" s="15">
        <v>113.61</v>
      </c>
      <c r="N25" s="15">
        <v>138.75700000000001</v>
      </c>
      <c r="O25" s="15">
        <v>100.574</v>
      </c>
      <c r="P25" s="23">
        <f t="shared" si="27"/>
        <v>100.574</v>
      </c>
      <c r="Q25" s="15">
        <v>94.662000000000006</v>
      </c>
      <c r="R25" s="23">
        <f>R106</f>
        <v>181.68496381796001</v>
      </c>
      <c r="S25" s="23">
        <f t="shared" ref="S25:AD25" si="28">S106</f>
        <v>170.73445499915357</v>
      </c>
      <c r="T25" s="23">
        <f t="shared" si="28"/>
        <v>134.28013461843511</v>
      </c>
      <c r="U25" s="23">
        <f t="shared" si="28"/>
        <v>134.28013461843511</v>
      </c>
      <c r="V25" s="23">
        <f t="shared" si="28"/>
        <v>157.07374762920159</v>
      </c>
      <c r="W25" s="23">
        <f t="shared" si="28"/>
        <v>180.51792545450419</v>
      </c>
      <c r="X25" s="23">
        <f t="shared" si="28"/>
        <v>198.02639015576369</v>
      </c>
      <c r="Y25" s="23">
        <f t="shared" si="28"/>
        <v>217.09722550744959</v>
      </c>
      <c r="Z25" s="23">
        <f t="shared" si="28"/>
        <v>237.86397882091515</v>
      </c>
      <c r="AA25" s="23">
        <f t="shared" si="28"/>
        <v>260.47130505657833</v>
      </c>
      <c r="AB25" s="23">
        <f t="shared" si="28"/>
        <v>285.07587271207285</v>
      </c>
      <c r="AC25" s="23">
        <f t="shared" si="28"/>
        <v>311.84734247936854</v>
      </c>
      <c r="AD25" s="23">
        <f t="shared" si="28"/>
        <v>340.96942444583686</v>
      </c>
    </row>
    <row r="26" spans="2:30">
      <c r="B26" s="39" t="s">
        <v>75</v>
      </c>
      <c r="D26" s="15">
        <v>71.878</v>
      </c>
      <c r="E26" s="15">
        <v>77.198999999999998</v>
      </c>
      <c r="F26" s="15">
        <v>107.3</v>
      </c>
      <c r="G26" s="15">
        <v>108.366</v>
      </c>
      <c r="H26" s="15">
        <v>105.083</v>
      </c>
      <c r="I26" s="15">
        <v>119.821</v>
      </c>
      <c r="J26" s="15">
        <v>88.771999999999991</v>
      </c>
      <c r="K26" s="23">
        <f t="shared" si="26"/>
        <v>88.771999999999991</v>
      </c>
      <c r="L26" s="15">
        <v>90.977000000000004</v>
      </c>
      <c r="M26" s="15">
        <v>102.02500000000001</v>
      </c>
      <c r="N26" s="15">
        <v>109.07599999999999</v>
      </c>
      <c r="O26" s="15">
        <v>104.797</v>
      </c>
      <c r="P26" s="23">
        <f t="shared" si="27"/>
        <v>104.797</v>
      </c>
      <c r="Q26" s="15">
        <v>124.43900000000001</v>
      </c>
      <c r="R26" s="23">
        <f>R109</f>
        <v>163.15824692832823</v>
      </c>
      <c r="S26" s="23">
        <f t="shared" ref="S26:AD26" si="29">S109</f>
        <v>134.21327510314919</v>
      </c>
      <c r="T26" s="23">
        <f t="shared" si="29"/>
        <v>139.91842093988649</v>
      </c>
      <c r="U26" s="23">
        <f t="shared" si="29"/>
        <v>139.91842093988649</v>
      </c>
      <c r="V26" s="23">
        <f t="shared" si="29"/>
        <v>163.66911458525499</v>
      </c>
      <c r="W26" s="23">
        <f t="shared" si="29"/>
        <v>188.09768960025127</v>
      </c>
      <c r="X26" s="23">
        <f t="shared" si="29"/>
        <v>206.341316932344</v>
      </c>
      <c r="Y26" s="23">
        <f t="shared" si="29"/>
        <v>226.21291726991259</v>
      </c>
      <c r="Z26" s="23">
        <f t="shared" si="29"/>
        <v>247.85164544012807</v>
      </c>
      <c r="AA26" s="23">
        <f t="shared" si="29"/>
        <v>271.40823031811635</v>
      </c>
      <c r="AB26" s="23">
        <f t="shared" si="29"/>
        <v>297.04591875243199</v>
      </c>
      <c r="AC26" s="23">
        <f t="shared" si="29"/>
        <v>324.94149531499573</v>
      </c>
      <c r="AD26" s="23">
        <f t="shared" si="29"/>
        <v>355.28638389295804</v>
      </c>
    </row>
    <row r="27" spans="2:30">
      <c r="B27" s="39" t="s">
        <v>56</v>
      </c>
      <c r="D27" s="15">
        <v>45.406999999999996</v>
      </c>
      <c r="E27" s="15">
        <v>71.040000000000006</v>
      </c>
      <c r="F27" s="15">
        <v>109.6</v>
      </c>
      <c r="G27" s="15">
        <v>103.254</v>
      </c>
      <c r="H27" s="15">
        <v>88.481999999999999</v>
      </c>
      <c r="I27" s="15">
        <v>152.98400000000001</v>
      </c>
      <c r="J27" s="15">
        <v>83.191000000000003</v>
      </c>
      <c r="K27" s="23">
        <f t="shared" si="26"/>
        <v>83.191000000000003</v>
      </c>
      <c r="L27" s="15">
        <v>196.37200000000001</v>
      </c>
      <c r="M27" s="15">
        <v>227.14099999999999</v>
      </c>
      <c r="N27" s="15">
        <v>225.429</v>
      </c>
      <c r="O27" s="15">
        <v>301.06700000000001</v>
      </c>
      <c r="P27" s="23">
        <f t="shared" si="27"/>
        <v>301.06700000000001</v>
      </c>
      <c r="Q27" s="15">
        <v>177.42400000000001</v>
      </c>
      <c r="R27" s="23">
        <f t="shared" ref="R27:S27" si="30">S27</f>
        <v>67.781000000000006</v>
      </c>
      <c r="S27" s="23">
        <f t="shared" si="30"/>
        <v>67.781000000000006</v>
      </c>
      <c r="T27" s="23">
        <f>U27</f>
        <v>67.781000000000006</v>
      </c>
      <c r="U27" s="23">
        <f>'Debt and Acquisition Schedule'!I23</f>
        <v>67.781000000000006</v>
      </c>
      <c r="V27" s="23">
        <f>'Debt and Acquisition Schedule'!J23</f>
        <v>137.46700000000001</v>
      </c>
      <c r="W27" s="23">
        <f>'Debt and Acquisition Schedule'!K23</f>
        <v>105.73650000000001</v>
      </c>
      <c r="X27" s="23">
        <f>'Debt and Acquisition Schedule'!L23</f>
        <v>153.06650000000002</v>
      </c>
      <c r="Y27" s="23">
        <f>'Debt and Acquisition Schedule'!M23</f>
        <v>1</v>
      </c>
      <c r="Z27" s="23">
        <f>'Debt and Acquisition Schedule'!N23</f>
        <v>0</v>
      </c>
      <c r="AA27" s="23">
        <f>'Debt and Acquisition Schedule'!O23</f>
        <v>0</v>
      </c>
      <c r="AB27" s="23">
        <f>'Debt and Acquisition Schedule'!P23</f>
        <v>0</v>
      </c>
      <c r="AC27" s="23">
        <f>'Debt and Acquisition Schedule'!Q23</f>
        <v>0</v>
      </c>
      <c r="AD27" s="23">
        <f>'Debt and Acquisition Schedule'!R23</f>
        <v>0</v>
      </c>
    </row>
    <row r="28" spans="2:30">
      <c r="B28" s="39" t="s">
        <v>57</v>
      </c>
      <c r="D28" s="15">
        <v>12.31</v>
      </c>
      <c r="E28" s="15">
        <v>21.53</v>
      </c>
      <c r="F28" s="15">
        <v>18.526</v>
      </c>
      <c r="G28" s="15">
        <v>19.183</v>
      </c>
      <c r="H28" s="15">
        <v>17.486999999999998</v>
      </c>
      <c r="I28" s="15">
        <v>17.661000000000001</v>
      </c>
      <c r="J28" s="15">
        <v>24.102</v>
      </c>
      <c r="K28" s="23">
        <f t="shared" si="26"/>
        <v>24.102</v>
      </c>
      <c r="L28" s="15">
        <v>18.975000000000001</v>
      </c>
      <c r="M28" s="15">
        <v>18.738</v>
      </c>
      <c r="N28" s="15">
        <v>20.533000000000001</v>
      </c>
      <c r="O28" s="15">
        <v>47.091000000000001</v>
      </c>
      <c r="P28" s="23">
        <f t="shared" si="27"/>
        <v>47.091000000000001</v>
      </c>
      <c r="Q28" s="15">
        <v>46.432000000000002</v>
      </c>
      <c r="R28" s="23">
        <f>0</f>
        <v>0</v>
      </c>
      <c r="S28" s="23">
        <f>0</f>
        <v>0</v>
      </c>
      <c r="T28" s="23">
        <f>0</f>
        <v>0</v>
      </c>
      <c r="U28" s="23">
        <f>0</f>
        <v>0</v>
      </c>
      <c r="V28" s="23">
        <f>0</f>
        <v>0</v>
      </c>
      <c r="W28" s="23">
        <f>0</f>
        <v>0</v>
      </c>
      <c r="X28" s="23">
        <f>0</f>
        <v>0</v>
      </c>
      <c r="Y28" s="23">
        <f>0</f>
        <v>0</v>
      </c>
      <c r="Z28" s="23">
        <f>0</f>
        <v>0</v>
      </c>
      <c r="AA28" s="23">
        <f>0</f>
        <v>0</v>
      </c>
      <c r="AB28" s="23">
        <f>0</f>
        <v>0</v>
      </c>
      <c r="AC28" s="23">
        <f>0</f>
        <v>0</v>
      </c>
      <c r="AD28" s="23">
        <f>0</f>
        <v>0</v>
      </c>
    </row>
    <row r="29" spans="2:30">
      <c r="B29" s="39" t="s">
        <v>95</v>
      </c>
      <c r="D29" s="15">
        <v>0</v>
      </c>
      <c r="E29" s="15">
        <v>18.622</v>
      </c>
      <c r="F29" s="15">
        <v>30.5</v>
      </c>
      <c r="G29" s="15">
        <v>35.917000000000002</v>
      </c>
      <c r="H29" s="15">
        <v>31.238</v>
      </c>
      <c r="I29" s="15">
        <v>25.86</v>
      </c>
      <c r="J29" s="15">
        <v>37.466999999999999</v>
      </c>
      <c r="K29" s="23">
        <f t="shared" si="26"/>
        <v>37.466999999999999</v>
      </c>
      <c r="L29" s="15">
        <v>39.021000000000001</v>
      </c>
      <c r="M29" s="15">
        <v>48.039000000000001</v>
      </c>
      <c r="N29" s="15">
        <v>58.052999999999997</v>
      </c>
      <c r="O29" s="15">
        <v>64.17</v>
      </c>
      <c r="P29" s="23">
        <f t="shared" si="27"/>
        <v>64.17</v>
      </c>
      <c r="Q29" s="15">
        <v>81.489999999999995</v>
      </c>
      <c r="R29" s="23">
        <f>Q29*('Build-Up'!V16/'Build-Up'!U16)</f>
        <v>85.058905109489046</v>
      </c>
      <c r="S29" s="23">
        <f>R29*('Build-Up'!W16/'Build-Up'!V16)</f>
        <v>88.627810218978084</v>
      </c>
      <c r="T29" s="23">
        <f>S29*('Build-Up'!X16/'Build-Up'!W16)</f>
        <v>92.196715328467135</v>
      </c>
      <c r="U29" s="23">
        <f>T29*('Build-Up'!Y16/'Build-Up'!X16)</f>
        <v>92.196715328467135</v>
      </c>
      <c r="V29" s="23">
        <f>U29*('Build-Up'!Z16/'Build-Up'!Y16)</f>
        <v>101.11897810218976</v>
      </c>
      <c r="W29" s="23">
        <f>V29*('Build-Up'!AA16/'Build-Up'!Z16)</f>
        <v>108.25678832116786</v>
      </c>
      <c r="X29" s="23">
        <f>W29*('Build-Up'!AB16/'Build-Up'!AA16)</f>
        <v>111.23087591240872</v>
      </c>
      <c r="Y29" s="23">
        <f>X29*('Build-Up'!AC16/'Build-Up'!AB16)</f>
        <v>114.20496350364961</v>
      </c>
      <c r="Z29" s="23">
        <f>Y29*('Build-Up'!AD16/'Build-Up'!AC16)</f>
        <v>117.1790510948905</v>
      </c>
      <c r="AA29" s="23">
        <f>Z29*('Build-Up'!AE16/'Build-Up'!AD16)</f>
        <v>120.15313868613137</v>
      </c>
      <c r="AB29" s="23">
        <f>AA29*('Build-Up'!AF16/'Build-Up'!AE16)</f>
        <v>123.12722627737224</v>
      </c>
      <c r="AC29" s="23">
        <f>AB29*('Build-Up'!AG16/'Build-Up'!AF16)</f>
        <v>126.10131386861313</v>
      </c>
      <c r="AD29" s="23">
        <f>AC29*('Build-Up'!AH16/'Build-Up'!AG16)</f>
        <v>129.07540145985402</v>
      </c>
    </row>
    <row r="30" spans="2:30">
      <c r="B30" s="39" t="s">
        <v>77</v>
      </c>
      <c r="D30" s="15">
        <v>1.2649999999999999</v>
      </c>
      <c r="E30" s="15">
        <v>14.561999999999999</v>
      </c>
      <c r="F30" s="15">
        <v>96.575999999999993</v>
      </c>
      <c r="G30" s="15">
        <v>0</v>
      </c>
      <c r="H30" s="15">
        <v>35.441000000000003</v>
      </c>
      <c r="I30" s="15">
        <v>34.073</v>
      </c>
      <c r="J30" s="15">
        <v>91.245999999999995</v>
      </c>
      <c r="K30" s="23">
        <f t="shared" si="26"/>
        <v>91.245999999999995</v>
      </c>
      <c r="L30" s="15">
        <v>79.39</v>
      </c>
      <c r="M30" s="15">
        <v>112.83499999999999</v>
      </c>
      <c r="N30" s="15">
        <v>90.430999999999997</v>
      </c>
      <c r="O30" s="15">
        <v>127.047</v>
      </c>
      <c r="P30" s="23">
        <f t="shared" si="27"/>
        <v>127.047</v>
      </c>
      <c r="Q30" s="15">
        <v>144.76400000000001</v>
      </c>
      <c r="R30" s="23">
        <f>R112</f>
        <v>180.44558482879603</v>
      </c>
      <c r="S30" s="23">
        <f t="shared" ref="S30:AD30" si="31">S112</f>
        <v>111.27141333430714</v>
      </c>
      <c r="T30" s="23">
        <f t="shared" si="31"/>
        <v>169.62523378674732</v>
      </c>
      <c r="U30" s="23">
        <f t="shared" si="31"/>
        <v>169.62523378674732</v>
      </c>
      <c r="V30" s="23">
        <f t="shared" si="31"/>
        <v>198.41856160684841</v>
      </c>
      <c r="W30" s="23">
        <f t="shared" si="31"/>
        <v>228.03369534092698</v>
      </c>
      <c r="X30" s="23">
        <f t="shared" si="31"/>
        <v>250.1507227525932</v>
      </c>
      <c r="Y30" s="23">
        <f t="shared" si="31"/>
        <v>274.24136664590196</v>
      </c>
      <c r="Z30" s="23">
        <f t="shared" si="31"/>
        <v>300.47432653827832</v>
      </c>
      <c r="AA30" s="23">
        <f t="shared" si="31"/>
        <v>329.03233334184876</v>
      </c>
      <c r="AB30" s="23">
        <f t="shared" si="31"/>
        <v>360.11329369867678</v>
      </c>
      <c r="AC30" s="23">
        <f t="shared" si="31"/>
        <v>393.93152623915057</v>
      </c>
      <c r="AD30" s="23">
        <f t="shared" si="31"/>
        <v>430.71909705858604</v>
      </c>
    </row>
    <row r="31" spans="2:30" s="11" customFormat="1">
      <c r="B31" s="40" t="s">
        <v>58</v>
      </c>
      <c r="D31" s="16">
        <f t="shared" ref="D31:Q31" si="32">SUM(D32:D35)</f>
        <v>450.06099999999998</v>
      </c>
      <c r="E31" s="16">
        <f t="shared" si="32"/>
        <v>537.86099999999999</v>
      </c>
      <c r="F31" s="16">
        <f t="shared" si="32"/>
        <v>1671.5909999999999</v>
      </c>
      <c r="G31" s="16">
        <f t="shared" si="32"/>
        <v>1772.395</v>
      </c>
      <c r="H31" s="16">
        <f t="shared" si="32"/>
        <v>1953.3589999999999</v>
      </c>
      <c r="I31" s="16">
        <f t="shared" si="32"/>
        <v>1841.9560000000001</v>
      </c>
      <c r="J31" s="16">
        <f t="shared" si="32"/>
        <v>2536.7450000000003</v>
      </c>
      <c r="K31" s="42">
        <f t="shared" si="32"/>
        <v>2536.7450000000003</v>
      </c>
      <c r="L31" s="16">
        <f t="shared" si="32"/>
        <v>2654.7070000000003</v>
      </c>
      <c r="M31" s="16">
        <f t="shared" si="32"/>
        <v>2943.2359999999999</v>
      </c>
      <c r="N31" s="16">
        <f t="shared" si="32"/>
        <v>3253.1509999999998</v>
      </c>
      <c r="O31" s="16">
        <f t="shared" si="32"/>
        <v>3704.0439999999999</v>
      </c>
      <c r="P31" s="42">
        <f t="shared" si="32"/>
        <v>3704.0439999999999</v>
      </c>
      <c r="Q31" s="16">
        <f t="shared" si="32"/>
        <v>4088.7209999999995</v>
      </c>
      <c r="R31" s="42">
        <f>SUM(R32:R35)</f>
        <v>4033.4339319569626</v>
      </c>
      <c r="S31" s="42">
        <f t="shared" ref="S31:AD31" si="33">SUM(S32:S35)</f>
        <v>3961.8029598437029</v>
      </c>
      <c r="T31" s="42">
        <f t="shared" si="33"/>
        <v>3988.9404458716936</v>
      </c>
      <c r="U31" s="42">
        <f t="shared" si="33"/>
        <v>3988.9404458716936</v>
      </c>
      <c r="V31" s="42">
        <f t="shared" si="33"/>
        <v>3918.9746571329024</v>
      </c>
      <c r="W31" s="42">
        <f t="shared" si="33"/>
        <v>3875.7370695327463</v>
      </c>
      <c r="X31" s="42">
        <f t="shared" si="33"/>
        <v>3761.3381872403452</v>
      </c>
      <c r="Y31" s="42">
        <f t="shared" si="33"/>
        <v>3801.5545100357749</v>
      </c>
      <c r="Z31" s="42">
        <f t="shared" si="33"/>
        <v>3845.8983944896377</v>
      </c>
      <c r="AA31" s="42">
        <f t="shared" si="33"/>
        <v>3892.8838171504549</v>
      </c>
      <c r="AB31" s="42">
        <f t="shared" si="33"/>
        <v>3943.1273523257141</v>
      </c>
      <c r="AC31" s="42">
        <f t="shared" si="33"/>
        <v>3996.9057685713979</v>
      </c>
      <c r="AD31" s="42">
        <f t="shared" si="33"/>
        <v>4054.5187533107442</v>
      </c>
    </row>
    <row r="32" spans="2:30">
      <c r="B32" s="39" t="s">
        <v>59</v>
      </c>
      <c r="D32" s="15">
        <v>325.803</v>
      </c>
      <c r="E32" s="15">
        <v>306.00099999999998</v>
      </c>
      <c r="F32" s="15">
        <v>1157.28</v>
      </c>
      <c r="G32" s="15">
        <v>1265.1420000000001</v>
      </c>
      <c r="H32" s="15">
        <v>1087.7280000000001</v>
      </c>
      <c r="I32" s="15">
        <v>1033.8050000000001</v>
      </c>
      <c r="J32" s="15">
        <v>1802.2329999999999</v>
      </c>
      <c r="K32" s="23">
        <f>J32</f>
        <v>1802.2329999999999</v>
      </c>
      <c r="L32" s="15">
        <v>1802.8409999999999</v>
      </c>
      <c r="M32" s="15">
        <v>1926.4189999999999</v>
      </c>
      <c r="N32" s="15">
        <v>2279.0749999999998</v>
      </c>
      <c r="O32" s="15">
        <v>2766.5169999999998</v>
      </c>
      <c r="P32" s="23">
        <f>O32</f>
        <v>2766.5169999999998</v>
      </c>
      <c r="Q32" s="15">
        <v>3059.6949999999997</v>
      </c>
      <c r="R32" s="23">
        <v>3059.6949999999997</v>
      </c>
      <c r="S32" s="23">
        <v>3059.6949999999997</v>
      </c>
      <c r="T32" s="23">
        <v>3059.6949999999997</v>
      </c>
      <c r="U32" s="23">
        <v>3059.6949999999997</v>
      </c>
      <c r="V32" s="23">
        <v>3059.6949999999997</v>
      </c>
      <c r="W32" s="23">
        <v>3059.6949999999997</v>
      </c>
      <c r="X32" s="23">
        <v>3059.6949999999997</v>
      </c>
      <c r="Y32" s="23">
        <v>3059.6949999999997</v>
      </c>
      <c r="Z32" s="23">
        <v>3059.6949999999997</v>
      </c>
      <c r="AA32" s="23">
        <v>3059.6949999999997</v>
      </c>
      <c r="AB32" s="23">
        <v>3059.6949999999997</v>
      </c>
      <c r="AC32" s="23">
        <v>3059.6949999999997</v>
      </c>
      <c r="AD32" s="23">
        <v>3059.6949999999997</v>
      </c>
    </row>
    <row r="33" spans="2:30">
      <c r="B33" s="39" t="s">
        <v>56</v>
      </c>
      <c r="D33" s="15">
        <v>25.378</v>
      </c>
      <c r="E33" s="15">
        <v>21.847999999999999</v>
      </c>
      <c r="F33" s="15">
        <v>95.7</v>
      </c>
      <c r="G33" s="15">
        <v>92.483999999999995</v>
      </c>
      <c r="H33" s="15">
        <v>237.29900000000001</v>
      </c>
      <c r="I33" s="15">
        <v>300.21100000000001</v>
      </c>
      <c r="J33" s="15">
        <v>371.31599999999997</v>
      </c>
      <c r="K33" s="23">
        <f>J33</f>
        <v>371.31599999999997</v>
      </c>
      <c r="L33" s="15">
        <v>468.47199999999998</v>
      </c>
      <c r="M33" s="15">
        <v>561.40800000000002</v>
      </c>
      <c r="N33" s="15">
        <v>509.50400000000002</v>
      </c>
      <c r="O33" s="15">
        <v>468.8</v>
      </c>
      <c r="P33" s="23">
        <f>O33</f>
        <v>468.8</v>
      </c>
      <c r="Q33" s="15">
        <v>589.76199999999994</v>
      </c>
      <c r="R33" s="23">
        <f t="shared" ref="R33:S33" si="34">S33</f>
        <v>396.90899999999999</v>
      </c>
      <c r="S33" s="23">
        <f t="shared" si="34"/>
        <v>396.90899999999999</v>
      </c>
      <c r="T33" s="23">
        <f>U33</f>
        <v>396.90899999999999</v>
      </c>
      <c r="U33" s="23">
        <f>'Debt and Acquisition Schedule'!I24</f>
        <v>396.90899999999999</v>
      </c>
      <c r="V33" s="23">
        <f>'Debt and Acquisition Schedule'!J24</f>
        <v>259.44200000000001</v>
      </c>
      <c r="W33" s="23">
        <f>'Debt and Acquisition Schedule'!K24</f>
        <v>153.7055</v>
      </c>
      <c r="X33" s="23">
        <f>'Debt and Acquisition Schedule'!L24</f>
        <v>0.63899999999998158</v>
      </c>
      <c r="Y33" s="23">
        <f>'Debt and Acquisition Schedule'!M24</f>
        <v>-0.36100000000001842</v>
      </c>
      <c r="Z33" s="23">
        <f>'Debt and Acquisition Schedule'!N24</f>
        <v>0</v>
      </c>
      <c r="AA33" s="23">
        <f>'Debt and Acquisition Schedule'!O24</f>
        <v>0</v>
      </c>
      <c r="AB33" s="23">
        <f>'Debt and Acquisition Schedule'!P24</f>
        <v>0</v>
      </c>
      <c r="AC33" s="23">
        <f>'Debt and Acquisition Schedule'!Q24</f>
        <v>0</v>
      </c>
      <c r="AD33" s="23">
        <f>'Debt and Acquisition Schedule'!R24</f>
        <v>0</v>
      </c>
    </row>
    <row r="34" spans="2:30">
      <c r="B34" s="39" t="s">
        <v>96</v>
      </c>
      <c r="D34" s="15">
        <v>0</v>
      </c>
      <c r="E34" s="15">
        <v>110.08499999999999</v>
      </c>
      <c r="F34" s="15">
        <v>202.1</v>
      </c>
      <c r="G34" s="15">
        <v>194.79599999999999</v>
      </c>
      <c r="H34" s="15">
        <v>187.91399999999999</v>
      </c>
      <c r="I34" s="15">
        <v>213.47800000000001</v>
      </c>
      <c r="J34" s="15">
        <v>232.20400000000001</v>
      </c>
      <c r="K34" s="23">
        <f t="shared" ref="K34:K35" si="35">J34</f>
        <v>232.20400000000001</v>
      </c>
      <c r="L34" s="15">
        <v>250.286</v>
      </c>
      <c r="M34" s="15">
        <v>275.44400000000002</v>
      </c>
      <c r="N34" s="15">
        <v>298.74599999999998</v>
      </c>
      <c r="O34" s="15">
        <v>304.66000000000003</v>
      </c>
      <c r="P34" s="23">
        <f t="shared" ref="P34:P35" si="36">O34</f>
        <v>304.66000000000003</v>
      </c>
      <c r="Q34" s="15">
        <v>276.90300000000002</v>
      </c>
      <c r="R34" s="23">
        <f>Q34*('Build-Up'!V16/'Build-Up'!U16)</f>
        <v>289.03013868613141</v>
      </c>
      <c r="S34" s="23">
        <f>R34*('Build-Up'!W16/'Build-Up'!V16)</f>
        <v>301.1572773722628</v>
      </c>
      <c r="T34" s="23">
        <f>S34*('Build-Up'!X16/'Build-Up'!W16)</f>
        <v>313.28441605839419</v>
      </c>
      <c r="U34" s="23">
        <f>T34*('Build-Up'!Y16/'Build-Up'!X16)</f>
        <v>313.28441605839419</v>
      </c>
      <c r="V34" s="23">
        <f>U34*('Build-Up'!Z16/'Build-Up'!Y16)</f>
        <v>343.6022627737226</v>
      </c>
      <c r="W34" s="23">
        <f>V34*('Build-Up'!AA16/'Build-Up'!Z16)</f>
        <v>367.85654014598538</v>
      </c>
      <c r="X34" s="23">
        <f>W34*('Build-Up'!AB16/'Build-Up'!AA16)</f>
        <v>377.96248905109485</v>
      </c>
      <c r="Y34" s="23">
        <f>X34*('Build-Up'!AC16/'Build-Up'!AB16)</f>
        <v>388.06843795620438</v>
      </c>
      <c r="Z34" s="23">
        <f>Y34*('Build-Up'!AD16/'Build-Up'!AC16)</f>
        <v>398.17438686131391</v>
      </c>
      <c r="AA34" s="23">
        <f>Z34*('Build-Up'!AE16/'Build-Up'!AD16)</f>
        <v>408.28033576642338</v>
      </c>
      <c r="AB34" s="23">
        <f>AA34*('Build-Up'!AF16/'Build-Up'!AE16)</f>
        <v>418.38628467153285</v>
      </c>
      <c r="AC34" s="23">
        <f>AB34*('Build-Up'!AG16/'Build-Up'!AF16)</f>
        <v>428.49223357664238</v>
      </c>
      <c r="AD34" s="23">
        <f>AC34*('Build-Up'!AH16/'Build-Up'!AG16)</f>
        <v>438.59818248175191</v>
      </c>
    </row>
    <row r="35" spans="2:30">
      <c r="B35" s="39" t="s">
        <v>78</v>
      </c>
      <c r="D35" s="15">
        <v>98.88000000000001</v>
      </c>
      <c r="E35" s="15">
        <v>99.927000000000007</v>
      </c>
      <c r="F35" s="15">
        <v>216.511</v>
      </c>
      <c r="G35" s="15">
        <v>219.97300000000001</v>
      </c>
      <c r="H35" s="15">
        <v>440.41800000000001</v>
      </c>
      <c r="I35" s="15">
        <v>294.46199999999999</v>
      </c>
      <c r="J35" s="15">
        <v>130.99199999999999</v>
      </c>
      <c r="K35" s="23">
        <f t="shared" si="35"/>
        <v>130.99199999999999</v>
      </c>
      <c r="L35" s="15">
        <v>133.108</v>
      </c>
      <c r="M35" s="15">
        <v>179.96499999999997</v>
      </c>
      <c r="N35" s="15">
        <v>165.82599999999999</v>
      </c>
      <c r="O35" s="15">
        <v>164.06700000000001</v>
      </c>
      <c r="P35" s="23">
        <f t="shared" si="36"/>
        <v>164.06700000000001</v>
      </c>
      <c r="Q35" s="15">
        <v>162.36099999999999</v>
      </c>
      <c r="R35" s="23">
        <f>R115</f>
        <v>287.79979327083151</v>
      </c>
      <c r="S35" s="23">
        <f t="shared" ref="S35:AD35" si="37">S115</f>
        <v>204.04168247144028</v>
      </c>
      <c r="T35" s="23">
        <f t="shared" si="37"/>
        <v>219.05202981329958</v>
      </c>
      <c r="U35" s="23">
        <f t="shared" si="37"/>
        <v>219.05202981329958</v>
      </c>
      <c r="V35" s="23">
        <f t="shared" si="37"/>
        <v>256.23539435918042</v>
      </c>
      <c r="W35" s="23">
        <f t="shared" si="37"/>
        <v>294.48002938676132</v>
      </c>
      <c r="X35" s="23">
        <f t="shared" si="37"/>
        <v>323.0416981892505</v>
      </c>
      <c r="Y35" s="23">
        <f t="shared" si="37"/>
        <v>354.15207207957053</v>
      </c>
      <c r="Z35" s="23">
        <f t="shared" si="37"/>
        <v>388.02900762832422</v>
      </c>
      <c r="AA35" s="23">
        <f t="shared" si="37"/>
        <v>424.90848138403192</v>
      </c>
      <c r="AB35" s="23">
        <f t="shared" si="37"/>
        <v>465.04606765418157</v>
      </c>
      <c r="AC35" s="23">
        <f t="shared" si="37"/>
        <v>508.71853499475566</v>
      </c>
      <c r="AD35" s="23">
        <f t="shared" si="37"/>
        <v>556.22557082899266</v>
      </c>
    </row>
    <row r="36" spans="2:30">
      <c r="B36" s="39"/>
      <c r="D36" s="15"/>
      <c r="E36" s="15"/>
      <c r="F36" s="15"/>
      <c r="G36" s="15"/>
      <c r="H36" s="15"/>
      <c r="I36" s="15"/>
      <c r="J36" s="15"/>
      <c r="K36" s="23"/>
      <c r="L36" s="15"/>
      <c r="M36" s="15"/>
      <c r="N36" s="15"/>
      <c r="O36" s="15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 spans="2:30">
      <c r="B37" s="316" t="s">
        <v>60</v>
      </c>
      <c r="C37" s="27"/>
      <c r="D37" s="26">
        <f>SUM(D38:D45)</f>
        <v>470.12400000000002</v>
      </c>
      <c r="E37" s="26">
        <f t="shared" ref="E37:Q37" si="38">SUM(E38:E45)</f>
        <v>656.37099999999998</v>
      </c>
      <c r="F37" s="26">
        <f t="shared" si="38"/>
        <v>677.09999999999991</v>
      </c>
      <c r="G37" s="26">
        <f t="shared" si="38"/>
        <v>690.60699999999997</v>
      </c>
      <c r="H37" s="26">
        <f t="shared" si="38"/>
        <v>221.166</v>
      </c>
      <c r="I37" s="26">
        <f t="shared" si="38"/>
        <v>2021.3390000000002</v>
      </c>
      <c r="J37" s="26">
        <f t="shared" si="38"/>
        <v>2304.9430000000002</v>
      </c>
      <c r="K37" s="26">
        <f t="shared" si="38"/>
        <v>2304.9430000000002</v>
      </c>
      <c r="L37" s="26">
        <f t="shared" si="38"/>
        <v>2351.2190000000001</v>
      </c>
      <c r="M37" s="26">
        <f t="shared" si="38"/>
        <v>2300.0689999999995</v>
      </c>
      <c r="N37" s="26">
        <f t="shared" si="38"/>
        <v>2544.6069999999995</v>
      </c>
      <c r="O37" s="26">
        <f t="shared" si="38"/>
        <v>2632.4559999999992</v>
      </c>
      <c r="P37" s="26">
        <f t="shared" si="38"/>
        <v>2632.4559999999992</v>
      </c>
      <c r="Q37" s="26">
        <f t="shared" si="38"/>
        <v>2549.4829999999997</v>
      </c>
      <c r="R37" s="26">
        <f ca="1">SUM(R38:R45)</f>
        <v>2551.5935844936107</v>
      </c>
      <c r="S37" s="26">
        <f t="shared" ref="S37:AD37" ca="1" si="39">SUM(S38:S45)</f>
        <v>2611.5628033935559</v>
      </c>
      <c r="T37" s="26">
        <f t="shared" ca="1" si="39"/>
        <v>2651.5987296555782</v>
      </c>
      <c r="U37" s="26">
        <f t="shared" ca="1" si="39"/>
        <v>2651.5987296555782</v>
      </c>
      <c r="V37" s="26">
        <f t="shared" ca="1" si="39"/>
        <v>2969.0699209854165</v>
      </c>
      <c r="W37" s="26">
        <f t="shared" ca="1" si="39"/>
        <v>3432.8208085913629</v>
      </c>
      <c r="X37" s="26">
        <f t="shared" ca="1" si="39"/>
        <v>4013.7539239292141</v>
      </c>
      <c r="Y37" s="26">
        <f t="shared" ca="1" si="39"/>
        <v>4726.1265929623623</v>
      </c>
      <c r="Z37" s="26">
        <f t="shared" ca="1" si="39"/>
        <v>5597.7575707338601</v>
      </c>
      <c r="AA37" s="26">
        <f t="shared" ca="1" si="39"/>
        <v>6650.6269254920044</v>
      </c>
      <c r="AB37" s="26">
        <f t="shared" ca="1" si="39"/>
        <v>7909.1941923286267</v>
      </c>
      <c r="AC37" s="26">
        <f t="shared" ca="1" si="39"/>
        <v>9400.6940294252781</v>
      </c>
      <c r="AD37" s="26">
        <f t="shared" ca="1" si="39"/>
        <v>11158.904701629206</v>
      </c>
    </row>
    <row r="38" spans="2:30">
      <c r="B38" s="39" t="s">
        <v>61</v>
      </c>
      <c r="D38" s="15">
        <v>373.72500000000002</v>
      </c>
      <c r="E38" s="15">
        <v>399.99099999999999</v>
      </c>
      <c r="F38" s="15">
        <v>416.1</v>
      </c>
      <c r="G38" s="15">
        <v>421.40499999999997</v>
      </c>
      <c r="H38" s="15">
        <v>425.65600000000001</v>
      </c>
      <c r="I38" s="15">
        <v>2103.1350000000002</v>
      </c>
      <c r="J38" s="15">
        <v>2207.134</v>
      </c>
      <c r="K38" s="23">
        <f>J38</f>
        <v>2207.134</v>
      </c>
      <c r="L38" s="15">
        <v>2207.134</v>
      </c>
      <c r="M38" s="15">
        <v>2207.134</v>
      </c>
      <c r="N38" s="15">
        <v>2249.7159999999999</v>
      </c>
      <c r="O38" s="15">
        <v>2249.7159999999999</v>
      </c>
      <c r="P38" s="23">
        <f>O38</f>
        <v>2249.7159999999999</v>
      </c>
      <c r="Q38" s="15">
        <v>2249.7159999999999</v>
      </c>
      <c r="R38" s="23">
        <f t="shared" ref="R38:R43" si="40">Q38</f>
        <v>2249.7159999999999</v>
      </c>
      <c r="S38" s="23">
        <f t="shared" ref="S38:AD38" si="41">R38</f>
        <v>2249.7159999999999</v>
      </c>
      <c r="T38" s="23">
        <f t="shared" si="41"/>
        <v>2249.7159999999999</v>
      </c>
      <c r="U38" s="23">
        <f t="shared" si="41"/>
        <v>2249.7159999999999</v>
      </c>
      <c r="V38" s="23">
        <f t="shared" si="41"/>
        <v>2249.7159999999999</v>
      </c>
      <c r="W38" s="23">
        <f t="shared" si="41"/>
        <v>2249.7159999999999</v>
      </c>
      <c r="X38" s="23">
        <f t="shared" si="41"/>
        <v>2249.7159999999999</v>
      </c>
      <c r="Y38" s="23">
        <f t="shared" si="41"/>
        <v>2249.7159999999999</v>
      </c>
      <c r="Z38" s="23">
        <f t="shared" si="41"/>
        <v>2249.7159999999999</v>
      </c>
      <c r="AA38" s="23">
        <f t="shared" si="41"/>
        <v>2249.7159999999999</v>
      </c>
      <c r="AB38" s="23">
        <f t="shared" si="41"/>
        <v>2249.7159999999999</v>
      </c>
      <c r="AC38" s="23">
        <f t="shared" si="41"/>
        <v>2249.7159999999999</v>
      </c>
      <c r="AD38" s="23">
        <f t="shared" si="41"/>
        <v>2249.7159999999999</v>
      </c>
    </row>
    <row r="39" spans="2:30">
      <c r="B39" s="39" t="s">
        <v>67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-104.46599999999999</v>
      </c>
      <c r="K39" s="23">
        <f>J39</f>
        <v>-104.46599999999999</v>
      </c>
      <c r="L39" s="15">
        <v>-104.46599999999999</v>
      </c>
      <c r="M39" s="15">
        <v>-104.46599999999999</v>
      </c>
      <c r="N39" s="15">
        <v>-104.46599999999999</v>
      </c>
      <c r="O39" s="15">
        <v>-104.46599999999999</v>
      </c>
      <c r="P39" s="23">
        <f>O39</f>
        <v>-104.46599999999999</v>
      </c>
      <c r="Q39" s="15">
        <v>-104.46599999999999</v>
      </c>
      <c r="R39" s="23">
        <f t="shared" si="40"/>
        <v>-104.46599999999999</v>
      </c>
      <c r="S39" s="23">
        <f t="shared" ref="S39:AD39" si="42">R39</f>
        <v>-104.46599999999999</v>
      </c>
      <c r="T39" s="23">
        <f t="shared" si="42"/>
        <v>-104.46599999999999</v>
      </c>
      <c r="U39" s="23">
        <f t="shared" si="42"/>
        <v>-104.46599999999999</v>
      </c>
      <c r="V39" s="23">
        <f t="shared" si="42"/>
        <v>-104.46599999999999</v>
      </c>
      <c r="W39" s="23">
        <f t="shared" si="42"/>
        <v>-104.46599999999999</v>
      </c>
      <c r="X39" s="23">
        <f t="shared" si="42"/>
        <v>-104.46599999999999</v>
      </c>
      <c r="Y39" s="23">
        <f t="shared" si="42"/>
        <v>-104.46599999999999</v>
      </c>
      <c r="Z39" s="23">
        <f t="shared" si="42"/>
        <v>-104.46599999999999</v>
      </c>
      <c r="AA39" s="23">
        <f t="shared" si="42"/>
        <v>-104.46599999999999</v>
      </c>
      <c r="AB39" s="23">
        <f t="shared" si="42"/>
        <v>-104.46599999999999</v>
      </c>
      <c r="AC39" s="23">
        <f t="shared" si="42"/>
        <v>-104.46599999999999</v>
      </c>
      <c r="AD39" s="23">
        <f t="shared" si="42"/>
        <v>-104.46599999999999</v>
      </c>
    </row>
    <row r="40" spans="2:30">
      <c r="B40" s="39" t="s">
        <v>66</v>
      </c>
      <c r="D40" s="15">
        <v>237.24600000000001</v>
      </c>
      <c r="E40" s="15">
        <v>466.74599999999998</v>
      </c>
      <c r="F40" s="15">
        <v>466.7</v>
      </c>
      <c r="G40" s="15">
        <v>466.74599999999998</v>
      </c>
      <c r="H40" s="15">
        <v>466.74599999999998</v>
      </c>
      <c r="I40" s="15">
        <v>438.31</v>
      </c>
      <c r="J40" s="15">
        <v>-20.620999999999999</v>
      </c>
      <c r="K40" s="23">
        <f t="shared" ref="K40:K44" si="43">J40</f>
        <v>-20.620999999999999</v>
      </c>
      <c r="L40" s="15">
        <v>-20.620999999999999</v>
      </c>
      <c r="M40" s="15">
        <v>-20.620999999999999</v>
      </c>
      <c r="N40" s="15">
        <v>-72.695999999999998</v>
      </c>
      <c r="O40" s="15">
        <v>-79.396000000000001</v>
      </c>
      <c r="P40" s="23">
        <f t="shared" ref="P40:P44" si="44">O40</f>
        <v>-79.396000000000001</v>
      </c>
      <c r="Q40" s="15">
        <v>-93.453000000000003</v>
      </c>
      <c r="R40" s="23">
        <f t="shared" si="40"/>
        <v>-93.453000000000003</v>
      </c>
      <c r="S40" s="23">
        <f t="shared" ref="S40:AD40" si="45">R40</f>
        <v>-93.453000000000003</v>
      </c>
      <c r="T40" s="23">
        <f t="shared" si="45"/>
        <v>-93.453000000000003</v>
      </c>
      <c r="U40" s="23">
        <f t="shared" si="45"/>
        <v>-93.453000000000003</v>
      </c>
      <c r="V40" s="23">
        <f t="shared" si="45"/>
        <v>-93.453000000000003</v>
      </c>
      <c r="W40" s="23">
        <f t="shared" si="45"/>
        <v>-93.453000000000003</v>
      </c>
      <c r="X40" s="23">
        <f t="shared" si="45"/>
        <v>-93.453000000000003</v>
      </c>
      <c r="Y40" s="23">
        <f t="shared" si="45"/>
        <v>-93.453000000000003</v>
      </c>
      <c r="Z40" s="23">
        <f t="shared" si="45"/>
        <v>-93.453000000000003</v>
      </c>
      <c r="AA40" s="23">
        <f t="shared" si="45"/>
        <v>-93.453000000000003</v>
      </c>
      <c r="AB40" s="23">
        <f t="shared" si="45"/>
        <v>-93.453000000000003</v>
      </c>
      <c r="AC40" s="23">
        <f t="shared" si="45"/>
        <v>-93.453000000000003</v>
      </c>
      <c r="AD40" s="23">
        <f t="shared" si="45"/>
        <v>-93.453000000000003</v>
      </c>
    </row>
    <row r="41" spans="2:30">
      <c r="B41" s="39" t="s">
        <v>63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588.005</v>
      </c>
      <c r="K41" s="23">
        <f t="shared" si="43"/>
        <v>588.005</v>
      </c>
      <c r="L41" s="15">
        <v>592.26599999999996</v>
      </c>
      <c r="M41" s="15">
        <v>596.529</v>
      </c>
      <c r="N41" s="15">
        <v>799.63599999999997</v>
      </c>
      <c r="O41" s="15">
        <v>805.27599999999995</v>
      </c>
      <c r="P41" s="23">
        <f t="shared" si="44"/>
        <v>805.27599999999995</v>
      </c>
      <c r="Q41" s="15">
        <v>812.64499999999998</v>
      </c>
      <c r="R41" s="23">
        <f t="shared" si="40"/>
        <v>812.64499999999998</v>
      </c>
      <c r="S41" s="23">
        <f t="shared" ref="S41:AD41" si="46">R41</f>
        <v>812.64499999999998</v>
      </c>
      <c r="T41" s="23">
        <f t="shared" si="46"/>
        <v>812.64499999999998</v>
      </c>
      <c r="U41" s="23">
        <f t="shared" si="46"/>
        <v>812.64499999999998</v>
      </c>
      <c r="V41" s="23">
        <f t="shared" si="46"/>
        <v>812.64499999999998</v>
      </c>
      <c r="W41" s="23">
        <f t="shared" si="46"/>
        <v>812.64499999999998</v>
      </c>
      <c r="X41" s="23">
        <f t="shared" si="46"/>
        <v>812.64499999999998</v>
      </c>
      <c r="Y41" s="23">
        <f t="shared" si="46"/>
        <v>812.64499999999998</v>
      </c>
      <c r="Z41" s="23">
        <f t="shared" si="46"/>
        <v>812.64499999999998</v>
      </c>
      <c r="AA41" s="23">
        <f t="shared" si="46"/>
        <v>812.64499999999998</v>
      </c>
      <c r="AB41" s="23">
        <f t="shared" si="46"/>
        <v>812.64499999999998</v>
      </c>
      <c r="AC41" s="23">
        <f t="shared" si="46"/>
        <v>812.64499999999998</v>
      </c>
      <c r="AD41" s="23">
        <f t="shared" si="46"/>
        <v>812.64499999999998</v>
      </c>
    </row>
    <row r="42" spans="2:30">
      <c r="B42" s="39" t="s">
        <v>64</v>
      </c>
      <c r="D42" s="15">
        <v>-31.745999999999999</v>
      </c>
      <c r="E42" s="15">
        <v>-31.745999999999999</v>
      </c>
      <c r="F42" s="15">
        <v>11.8</v>
      </c>
      <c r="G42" s="15">
        <v>16.061</v>
      </c>
      <c r="H42" s="15">
        <v>9.7409999999999997</v>
      </c>
      <c r="I42" s="15">
        <v>12.901999999999999</v>
      </c>
      <c r="J42" s="15">
        <v>14.955</v>
      </c>
      <c r="K42" s="23">
        <f t="shared" si="43"/>
        <v>14.955</v>
      </c>
      <c r="L42" s="15">
        <v>10.167</v>
      </c>
      <c r="M42" s="15">
        <v>12.957000000000001</v>
      </c>
      <c r="N42" s="15">
        <v>13.198</v>
      </c>
      <c r="O42" s="15">
        <v>13.361000000000001</v>
      </c>
      <c r="P42" s="23">
        <f t="shared" si="44"/>
        <v>13.361000000000001</v>
      </c>
      <c r="Q42" s="15">
        <v>14.12</v>
      </c>
      <c r="R42" s="23">
        <f t="shared" si="40"/>
        <v>14.12</v>
      </c>
      <c r="S42" s="23">
        <f t="shared" ref="S42:AD42" si="47">R42</f>
        <v>14.12</v>
      </c>
      <c r="T42" s="23">
        <f t="shared" si="47"/>
        <v>14.12</v>
      </c>
      <c r="U42" s="23">
        <f t="shared" si="47"/>
        <v>14.12</v>
      </c>
      <c r="V42" s="23">
        <f t="shared" si="47"/>
        <v>14.12</v>
      </c>
      <c r="W42" s="23">
        <f t="shared" si="47"/>
        <v>14.12</v>
      </c>
      <c r="X42" s="23">
        <f t="shared" si="47"/>
        <v>14.12</v>
      </c>
      <c r="Y42" s="23">
        <f t="shared" si="47"/>
        <v>14.12</v>
      </c>
      <c r="Z42" s="23">
        <f t="shared" si="47"/>
        <v>14.12</v>
      </c>
      <c r="AA42" s="23">
        <f t="shared" si="47"/>
        <v>14.12</v>
      </c>
      <c r="AB42" s="23">
        <f t="shared" si="47"/>
        <v>14.12</v>
      </c>
      <c r="AC42" s="23">
        <f t="shared" si="47"/>
        <v>14.12</v>
      </c>
      <c r="AD42" s="23">
        <f t="shared" si="47"/>
        <v>14.12</v>
      </c>
    </row>
    <row r="43" spans="2:30">
      <c r="B43" s="39" t="s">
        <v>65</v>
      </c>
      <c r="D43" s="15">
        <v>-96.62</v>
      </c>
      <c r="E43" s="15">
        <v>-158.38900000000001</v>
      </c>
      <c r="F43" s="15">
        <v>-205.2</v>
      </c>
      <c r="G43" s="15">
        <v>-205.69900000000001</v>
      </c>
      <c r="H43" s="15">
        <v>-457.714</v>
      </c>
      <c r="I43" s="15">
        <v>-470.12400000000002</v>
      </c>
      <c r="J43" s="15">
        <v>-496.24599999999998</v>
      </c>
      <c r="K43" s="23">
        <f t="shared" si="43"/>
        <v>-496.24599999999998</v>
      </c>
      <c r="L43" s="15">
        <v>-500.28699999999998</v>
      </c>
      <c r="M43" s="15">
        <v>-499.673</v>
      </c>
      <c r="N43" s="15">
        <v>-511.59500000000003</v>
      </c>
      <c r="O43" s="15">
        <v>-478.214</v>
      </c>
      <c r="P43" s="23">
        <f t="shared" si="44"/>
        <v>-478.214</v>
      </c>
      <c r="Q43" s="15">
        <v>-590.21500000000003</v>
      </c>
      <c r="R43" s="23">
        <f t="shared" si="40"/>
        <v>-590.21500000000003</v>
      </c>
      <c r="S43" s="23">
        <f t="shared" ref="S43:AD43" si="48">R43</f>
        <v>-590.21500000000003</v>
      </c>
      <c r="T43" s="23">
        <f t="shared" si="48"/>
        <v>-590.21500000000003</v>
      </c>
      <c r="U43" s="23">
        <f t="shared" si="48"/>
        <v>-590.21500000000003</v>
      </c>
      <c r="V43" s="23">
        <f t="shared" si="48"/>
        <v>-590.21500000000003</v>
      </c>
      <c r="W43" s="23">
        <f t="shared" si="48"/>
        <v>-590.21500000000003</v>
      </c>
      <c r="X43" s="23">
        <f t="shared" si="48"/>
        <v>-590.21500000000003</v>
      </c>
      <c r="Y43" s="23">
        <f t="shared" si="48"/>
        <v>-590.21500000000003</v>
      </c>
      <c r="Z43" s="23">
        <f t="shared" si="48"/>
        <v>-590.21500000000003</v>
      </c>
      <c r="AA43" s="23">
        <f t="shared" si="48"/>
        <v>-590.21500000000003</v>
      </c>
      <c r="AB43" s="23">
        <f t="shared" si="48"/>
        <v>-590.21500000000003</v>
      </c>
      <c r="AC43" s="23">
        <f t="shared" si="48"/>
        <v>-590.21500000000003</v>
      </c>
      <c r="AD43" s="23">
        <f t="shared" si="48"/>
        <v>-590.21500000000003</v>
      </c>
    </row>
    <row r="44" spans="2:30">
      <c r="B44" s="39" t="s">
        <v>62</v>
      </c>
      <c r="D44" s="15">
        <v>-99.486000000000004</v>
      </c>
      <c r="E44" s="15">
        <v>-119.90300000000001</v>
      </c>
      <c r="F44" s="15">
        <v>-289.8</v>
      </c>
      <c r="G44" s="15">
        <v>-292.26499999999999</v>
      </c>
      <c r="H44" s="15">
        <v>-497.15300000000002</v>
      </c>
      <c r="I44" s="15">
        <v>-350.04399999999998</v>
      </c>
      <c r="J44" s="15">
        <v>-334.75200000000001</v>
      </c>
      <c r="K44" s="23">
        <f t="shared" si="43"/>
        <v>-334.75200000000001</v>
      </c>
      <c r="L44" s="15">
        <v>-357.745</v>
      </c>
      <c r="M44" s="15">
        <v>-390.43900000000002</v>
      </c>
      <c r="N44" s="15">
        <v>-359.60599999999999</v>
      </c>
      <c r="O44" s="15">
        <v>-288.49200000000002</v>
      </c>
      <c r="P44" s="23">
        <f t="shared" si="44"/>
        <v>-288.49200000000002</v>
      </c>
      <c r="Q44" s="15">
        <v>-266.30799999999999</v>
      </c>
      <c r="R44" s="23">
        <f ca="1">Q44+IS!V32+IS!V33</f>
        <v>-264.19741550638906</v>
      </c>
      <c r="S44" s="23">
        <f ca="1">R44+IS!W32+IS!W33</f>
        <v>-204.22819660644396</v>
      </c>
      <c r="T44" s="23">
        <f ca="1">S44+IS!X32+IS!X33</f>
        <v>-164.1922703444217</v>
      </c>
      <c r="U44" s="23">
        <f ca="1">T44</f>
        <v>-164.1922703444217</v>
      </c>
      <c r="V44" s="23">
        <f ca="1">U44+IS!Z32+IS!Z33</f>
        <v>153.27892098541696</v>
      </c>
      <c r="W44" s="23">
        <f ca="1">V44+IS!AA32+IS!AA33</f>
        <v>617.02980859136323</v>
      </c>
      <c r="X44" s="23">
        <f ca="1">W44+IS!AB32+IS!AB33</f>
        <v>1197.9629239292146</v>
      </c>
      <c r="Y44" s="23">
        <f ca="1">X44+IS!AC32+IS!AC33</f>
        <v>1910.3355929623624</v>
      </c>
      <c r="Z44" s="23">
        <f ca="1">Y44+IS!AD32+IS!AD33</f>
        <v>2781.9665707338604</v>
      </c>
      <c r="AA44" s="23">
        <f ca="1">Z44+IS!AE32+IS!AE33</f>
        <v>3834.8359254920042</v>
      </c>
      <c r="AB44" s="23">
        <f ca="1">AA44+IS!AF32+IS!AF33</f>
        <v>5093.4031923286284</v>
      </c>
      <c r="AC44" s="23">
        <f ca="1">AB44+IS!AG32+IS!AG33</f>
        <v>6584.9030294252807</v>
      </c>
      <c r="AD44" s="23">
        <f ca="1">AC44+IS!AH32+IS!AH33</f>
        <v>8343.1137016292087</v>
      </c>
    </row>
    <row r="45" spans="2:30">
      <c r="B45" s="39" t="s">
        <v>68</v>
      </c>
      <c r="D45" s="15">
        <v>87.004999999999995</v>
      </c>
      <c r="E45" s="15">
        <v>99.671999999999997</v>
      </c>
      <c r="F45" s="15">
        <v>277.5</v>
      </c>
      <c r="G45" s="15">
        <v>284.35899999999998</v>
      </c>
      <c r="H45" s="15">
        <v>273.89</v>
      </c>
      <c r="I45" s="15">
        <v>287.16000000000003</v>
      </c>
      <c r="J45" s="15">
        <v>450.93400000000003</v>
      </c>
      <c r="K45" s="23">
        <f>J45</f>
        <v>450.93400000000003</v>
      </c>
      <c r="L45" s="15">
        <v>524.77099999999996</v>
      </c>
      <c r="M45" s="15">
        <v>498.64800000000002</v>
      </c>
      <c r="N45" s="15">
        <v>530.41999999999996</v>
      </c>
      <c r="O45" s="15">
        <v>514.67100000000005</v>
      </c>
      <c r="P45" s="23">
        <f>O45</f>
        <v>514.67100000000005</v>
      </c>
      <c r="Q45" s="15">
        <v>527.44399999999996</v>
      </c>
      <c r="R45" s="23">
        <f>Q45</f>
        <v>527.44399999999996</v>
      </c>
      <c r="S45" s="23">
        <f t="shared" ref="S45:AD45" si="49">R45</f>
        <v>527.44399999999996</v>
      </c>
      <c r="T45" s="23">
        <f t="shared" si="49"/>
        <v>527.44399999999996</v>
      </c>
      <c r="U45" s="23">
        <f t="shared" si="49"/>
        <v>527.44399999999996</v>
      </c>
      <c r="V45" s="23">
        <f t="shared" si="49"/>
        <v>527.44399999999996</v>
      </c>
      <c r="W45" s="23">
        <f t="shared" si="49"/>
        <v>527.44399999999996</v>
      </c>
      <c r="X45" s="23">
        <f t="shared" si="49"/>
        <v>527.44399999999996</v>
      </c>
      <c r="Y45" s="23">
        <f t="shared" si="49"/>
        <v>527.44399999999996</v>
      </c>
      <c r="Z45" s="23">
        <f t="shared" si="49"/>
        <v>527.44399999999996</v>
      </c>
      <c r="AA45" s="23">
        <f t="shared" si="49"/>
        <v>527.44399999999996</v>
      </c>
      <c r="AB45" s="23">
        <f t="shared" si="49"/>
        <v>527.44399999999996</v>
      </c>
      <c r="AC45" s="23">
        <f t="shared" si="49"/>
        <v>527.44399999999996</v>
      </c>
      <c r="AD45" s="23">
        <f t="shared" si="49"/>
        <v>527.44399999999996</v>
      </c>
    </row>
    <row r="46" spans="2:30">
      <c r="B46" s="39"/>
      <c r="D46" s="15"/>
      <c r="E46" s="15"/>
      <c r="F46" s="15"/>
      <c r="G46" s="15"/>
      <c r="H46" s="15"/>
      <c r="I46" s="15"/>
      <c r="J46" s="15"/>
      <c r="K46" s="23"/>
      <c r="L46" s="15"/>
      <c r="M46" s="15"/>
      <c r="N46" s="15"/>
      <c r="O46" s="15"/>
      <c r="P46" s="23"/>
      <c r="Q46" s="23"/>
      <c r="R46" s="23"/>
      <c r="S46" s="23"/>
      <c r="T46" s="23"/>
    </row>
    <row r="47" spans="2:30" s="45" customFormat="1">
      <c r="B47" s="56" t="s">
        <v>72</v>
      </c>
      <c r="D47" s="55"/>
      <c r="E47" s="46" t="str">
        <f t="shared" ref="E47:AD47" si="50">IF(AND(E5-E20&lt;1,E20-E5&lt;1),"Check",E5-E20)</f>
        <v>Check</v>
      </c>
      <c r="F47" s="46" t="str">
        <f t="shared" si="50"/>
        <v>Check</v>
      </c>
      <c r="G47" s="46" t="str">
        <f t="shared" si="50"/>
        <v>Check</v>
      </c>
      <c r="H47" s="46" t="str">
        <f t="shared" si="50"/>
        <v>Check</v>
      </c>
      <c r="I47" s="46" t="str">
        <f t="shared" si="50"/>
        <v>Check</v>
      </c>
      <c r="J47" s="46" t="str">
        <f t="shared" si="50"/>
        <v>Check</v>
      </c>
      <c r="K47" s="46" t="str">
        <f t="shared" si="50"/>
        <v>Check</v>
      </c>
      <c r="L47" s="46" t="str">
        <f t="shared" si="50"/>
        <v>Check</v>
      </c>
      <c r="M47" s="46" t="str">
        <f t="shared" si="50"/>
        <v>Check</v>
      </c>
      <c r="N47" s="46" t="str">
        <f t="shared" si="50"/>
        <v>Check</v>
      </c>
      <c r="O47" s="46" t="str">
        <f t="shared" si="50"/>
        <v>Check</v>
      </c>
      <c r="P47" s="46" t="str">
        <f t="shared" si="50"/>
        <v>Check</v>
      </c>
      <c r="Q47" s="46" t="str">
        <f t="shared" si="50"/>
        <v>Check</v>
      </c>
      <c r="R47" s="46" t="str">
        <f t="shared" ca="1" si="50"/>
        <v>Check</v>
      </c>
      <c r="S47" s="46" t="str">
        <f t="shared" ca="1" si="50"/>
        <v>Check</v>
      </c>
      <c r="T47" s="46" t="str">
        <f t="shared" ca="1" si="50"/>
        <v>Check</v>
      </c>
      <c r="U47" s="46" t="str">
        <f t="shared" ca="1" si="50"/>
        <v>Check</v>
      </c>
      <c r="V47" s="46" t="str">
        <f t="shared" ca="1" si="50"/>
        <v>Check</v>
      </c>
      <c r="W47" s="46" t="str">
        <f t="shared" ca="1" si="50"/>
        <v>Check</v>
      </c>
      <c r="X47" s="46" t="str">
        <f t="shared" ca="1" si="50"/>
        <v>Check</v>
      </c>
      <c r="Y47" s="46" t="str">
        <f t="shared" ca="1" si="50"/>
        <v>Check</v>
      </c>
      <c r="Z47" s="46" t="str">
        <f t="shared" ca="1" si="50"/>
        <v>Check</v>
      </c>
      <c r="AA47" s="46" t="str">
        <f t="shared" ca="1" si="50"/>
        <v>Check</v>
      </c>
      <c r="AB47" s="46" t="str">
        <f t="shared" ca="1" si="50"/>
        <v>Check</v>
      </c>
      <c r="AC47" s="46" t="str">
        <f t="shared" ca="1" si="50"/>
        <v>Check</v>
      </c>
      <c r="AD47" s="46" t="str">
        <f t="shared" ca="1" si="50"/>
        <v>Check</v>
      </c>
    </row>
    <row r="49" spans="1:30">
      <c r="A49" s="11"/>
      <c r="B49" s="73" t="s">
        <v>110</v>
      </c>
      <c r="C49" s="11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spans="1:30">
      <c r="A50" s="45"/>
      <c r="B50" s="29" t="s">
        <v>111</v>
      </c>
      <c r="D50" s="76"/>
      <c r="E50" s="23">
        <f>E32+E24+E29+E34+E33+E27-E7</f>
        <v>480.94999999999993</v>
      </c>
      <c r="F50" s="23">
        <f t="shared" ref="F50:P50" si="51">F32+F24+F29+F34+F33+F27-F7</f>
        <v>1047.5499999999997</v>
      </c>
      <c r="G50" s="23">
        <f t="shared" si="51"/>
        <v>1153.5789999999997</v>
      </c>
      <c r="H50" s="23">
        <f t="shared" si="51"/>
        <v>1558.4570000000001</v>
      </c>
      <c r="I50" s="23">
        <f t="shared" si="51"/>
        <v>255.48800000000006</v>
      </c>
      <c r="J50" s="23">
        <f t="shared" si="51"/>
        <v>870.12699999999995</v>
      </c>
      <c r="K50" s="23">
        <f t="shared" si="51"/>
        <v>870.12699999999995</v>
      </c>
      <c r="L50" s="23">
        <f t="shared" si="51"/>
        <v>1625.1190000000001</v>
      </c>
      <c r="M50" s="23">
        <f t="shared" si="51"/>
        <v>2188.6109999999999</v>
      </c>
      <c r="N50" s="23">
        <f t="shared" si="51"/>
        <v>3130.1439999999998</v>
      </c>
      <c r="O50" s="23">
        <f t="shared" si="51"/>
        <v>3162.3790000000004</v>
      </c>
      <c r="P50" s="23">
        <f t="shared" si="51"/>
        <v>3162.3790000000004</v>
      </c>
      <c r="Q50" s="23">
        <f t="shared" ref="Q50:AD50" si="52">Q32+Q24+Q29+Q34+Q33+Q27-Q7</f>
        <v>3843.2289999999989</v>
      </c>
      <c r="R50" s="23">
        <f t="shared" ca="1" si="52"/>
        <v>3344.496389585508</v>
      </c>
      <c r="S50" s="23">
        <f t="shared" ca="1" si="52"/>
        <v>3458.6751727570654</v>
      </c>
      <c r="T50" s="23">
        <f t="shared" ca="1" si="52"/>
        <v>3444.8801898676902</v>
      </c>
      <c r="U50" s="23">
        <f t="shared" ca="1" si="52"/>
        <v>3444.8801898676902</v>
      </c>
      <c r="V50" s="23">
        <f t="shared" ca="1" si="52"/>
        <v>3393.377189675698</v>
      </c>
      <c r="W50" s="23">
        <f t="shared" ca="1" si="52"/>
        <v>3163.4312882051304</v>
      </c>
      <c r="X50" s="23">
        <f t="shared" ca="1" si="52"/>
        <v>2769.628451496972</v>
      </c>
      <c r="Y50" s="23">
        <f t="shared" ca="1" si="52"/>
        <v>2264.9276537712931</v>
      </c>
      <c r="Z50" s="23">
        <f t="shared" ca="1" si="52"/>
        <v>1623.1024723298274</v>
      </c>
      <c r="AA50" s="23">
        <f t="shared" ca="1" si="52"/>
        <v>823.87476941137402</v>
      </c>
      <c r="AB50" s="23">
        <f t="shared" ca="1" si="52"/>
        <v>-155.38748129117084</v>
      </c>
      <c r="AC50" s="23">
        <f t="shared" ca="1" si="52"/>
        <v>-1339.9498265641873</v>
      </c>
      <c r="AD50" s="23">
        <f t="shared" ca="1" si="52"/>
        <v>-2823.1302192658027</v>
      </c>
    </row>
    <row r="51" spans="1:30">
      <c r="A51" s="45"/>
      <c r="B51" s="29" t="s">
        <v>112</v>
      </c>
      <c r="D51" s="76"/>
      <c r="E51" s="23">
        <f>E32+E24+E29+E34-E7</f>
        <v>388.06200000000001</v>
      </c>
      <c r="F51" s="23">
        <f t="shared" ref="F51:P51" si="53">F32+F24+F29+F34-F7</f>
        <v>842.24999999999989</v>
      </c>
      <c r="G51" s="23">
        <f t="shared" si="53"/>
        <v>957.84100000000001</v>
      </c>
      <c r="H51" s="23">
        <f t="shared" si="53"/>
        <v>1232.6760000000002</v>
      </c>
      <c r="I51" s="23">
        <f t="shared" si="53"/>
        <v>-197.70699999999988</v>
      </c>
      <c r="J51" s="23">
        <f t="shared" si="53"/>
        <v>415.62000000000035</v>
      </c>
      <c r="K51" s="23">
        <f t="shared" si="53"/>
        <v>415.62000000000035</v>
      </c>
      <c r="L51" s="23">
        <f t="shared" si="53"/>
        <v>960.27500000000009</v>
      </c>
      <c r="M51" s="23">
        <f t="shared" si="53"/>
        <v>1400.0620000000001</v>
      </c>
      <c r="N51" s="23">
        <f t="shared" si="53"/>
        <v>2395.2109999999998</v>
      </c>
      <c r="O51" s="23">
        <f t="shared" si="53"/>
        <v>2392.5119999999997</v>
      </c>
      <c r="P51" s="23">
        <f t="shared" si="53"/>
        <v>2392.5119999999997</v>
      </c>
      <c r="Q51" s="23">
        <f t="shared" ref="Q51:AD51" si="54">Q32+Q24+Q29+Q34-Q7</f>
        <v>3076.0429999999992</v>
      </c>
      <c r="R51" s="23">
        <f t="shared" ca="1" si="54"/>
        <v>2879.8063895855075</v>
      </c>
      <c r="S51" s="23">
        <f t="shared" ca="1" si="54"/>
        <v>2993.9851727570654</v>
      </c>
      <c r="T51" s="23">
        <f t="shared" ca="1" si="54"/>
        <v>2980.1901898676897</v>
      </c>
      <c r="U51" s="23">
        <f t="shared" ca="1" si="54"/>
        <v>2980.1901898676897</v>
      </c>
      <c r="V51" s="23">
        <f t="shared" ca="1" si="54"/>
        <v>2996.4681896756993</v>
      </c>
      <c r="W51" s="23">
        <f t="shared" ca="1" si="54"/>
        <v>2903.9892882051308</v>
      </c>
      <c r="X51" s="23">
        <f t="shared" ca="1" si="54"/>
        <v>2615.9229514969716</v>
      </c>
      <c r="Y51" s="23">
        <f t="shared" ca="1" si="54"/>
        <v>2264.288653771293</v>
      </c>
      <c r="Z51" s="23">
        <f t="shared" ca="1" si="54"/>
        <v>1623.1024723298274</v>
      </c>
      <c r="AA51" s="23">
        <f t="shared" ca="1" si="54"/>
        <v>823.87476941137402</v>
      </c>
      <c r="AB51" s="23">
        <f t="shared" ca="1" si="54"/>
        <v>-155.38748129117084</v>
      </c>
      <c r="AC51" s="23">
        <f t="shared" ca="1" si="54"/>
        <v>-1339.9498265641873</v>
      </c>
      <c r="AD51" s="23">
        <f t="shared" ca="1" si="54"/>
        <v>-2823.1302192658027</v>
      </c>
    </row>
    <row r="52" spans="1:30">
      <c r="A52" s="45"/>
      <c r="B52" s="29" t="s">
        <v>113</v>
      </c>
      <c r="D52" s="76"/>
      <c r="E52" s="23">
        <f>SUM(E32,E27,E24,E33)-E7</f>
        <v>352.24299999999994</v>
      </c>
      <c r="F52" s="23">
        <f t="shared" ref="F52:P52" si="55">SUM(F32,F27,F24,F33)-F7</f>
        <v>814.94999999999993</v>
      </c>
      <c r="G52" s="23">
        <f t="shared" si="55"/>
        <v>922.86599999999987</v>
      </c>
      <c r="H52" s="23">
        <f t="shared" si="55"/>
        <v>1339.3050000000001</v>
      </c>
      <c r="I52" s="23">
        <f t="shared" si="55"/>
        <v>16.150000000000091</v>
      </c>
      <c r="J52" s="23">
        <f t="shared" si="55"/>
        <v>600.45599999999968</v>
      </c>
      <c r="K52" s="23">
        <f t="shared" si="55"/>
        <v>600.45599999999968</v>
      </c>
      <c r="L52" s="23">
        <f t="shared" si="55"/>
        <v>1335.8119999999999</v>
      </c>
      <c r="M52" s="23">
        <f t="shared" si="55"/>
        <v>1865.1279999999999</v>
      </c>
      <c r="N52" s="23">
        <f t="shared" si="55"/>
        <v>2773.3449999999998</v>
      </c>
      <c r="O52" s="23">
        <f t="shared" si="55"/>
        <v>2793.549</v>
      </c>
      <c r="P52" s="23">
        <f t="shared" si="55"/>
        <v>2793.549</v>
      </c>
      <c r="Q52" s="23">
        <f t="shared" ref="Q52:AD52" si="56">SUM(Q32,Q27,Q24,Q33)-Q7</f>
        <v>3484.8359999999998</v>
      </c>
      <c r="R52" s="23">
        <f t="shared" ca="1" si="56"/>
        <v>2970.4073457898876</v>
      </c>
      <c r="S52" s="23">
        <f t="shared" ca="1" si="56"/>
        <v>3068.8900851658245</v>
      </c>
      <c r="T52" s="23">
        <f t="shared" ca="1" si="56"/>
        <v>3039.3990584808289</v>
      </c>
      <c r="U52" s="23">
        <f t="shared" ca="1" si="56"/>
        <v>3039.3990584808289</v>
      </c>
      <c r="V52" s="23">
        <f t="shared" ca="1" si="56"/>
        <v>2948.6559487997865</v>
      </c>
      <c r="W52" s="23">
        <f t="shared" ca="1" si="56"/>
        <v>2687.3179597379776</v>
      </c>
      <c r="X52" s="23">
        <f t="shared" ca="1" si="56"/>
        <v>2280.4350865334677</v>
      </c>
      <c r="Y52" s="23">
        <f t="shared" ca="1" si="56"/>
        <v>1762.654252311439</v>
      </c>
      <c r="Z52" s="23">
        <f t="shared" ca="1" si="56"/>
        <v>1107.7490343736231</v>
      </c>
      <c r="AA52" s="23">
        <f t="shared" ca="1" si="56"/>
        <v>295.44129495881907</v>
      </c>
      <c r="AB52" s="23">
        <f t="shared" ca="1" si="56"/>
        <v>-696.90099224007599</v>
      </c>
      <c r="AC52" s="23">
        <f t="shared" ca="1" si="56"/>
        <v>-1894.5433740094427</v>
      </c>
      <c r="AD52" s="23">
        <f t="shared" ca="1" si="56"/>
        <v>-3390.8038032074087</v>
      </c>
    </row>
    <row r="53" spans="1:30">
      <c r="A53" s="45"/>
      <c r="B53" s="29" t="s">
        <v>114</v>
      </c>
      <c r="D53" s="76"/>
      <c r="E53" s="23">
        <f>E32+E24-E7</f>
        <v>259.35500000000002</v>
      </c>
      <c r="F53" s="23">
        <f t="shared" ref="F53:P53" si="57">F32+F24-F7</f>
        <v>609.65</v>
      </c>
      <c r="G53" s="23">
        <f t="shared" si="57"/>
        <v>727.12800000000004</v>
      </c>
      <c r="H53" s="23">
        <f t="shared" si="57"/>
        <v>1013.5240000000001</v>
      </c>
      <c r="I53" s="23">
        <f t="shared" si="57"/>
        <v>-437.04499999999985</v>
      </c>
      <c r="J53" s="23">
        <f t="shared" si="57"/>
        <v>145.94900000000007</v>
      </c>
      <c r="K53" s="23">
        <f t="shared" si="57"/>
        <v>145.94900000000007</v>
      </c>
      <c r="L53" s="23">
        <f t="shared" si="57"/>
        <v>670.96799999999985</v>
      </c>
      <c r="M53" s="23">
        <f t="shared" si="57"/>
        <v>1076.579</v>
      </c>
      <c r="N53" s="23">
        <f t="shared" si="57"/>
        <v>2038.4119999999998</v>
      </c>
      <c r="O53" s="23">
        <f t="shared" si="57"/>
        <v>2023.6819999999998</v>
      </c>
      <c r="P53" s="23">
        <f t="shared" si="57"/>
        <v>2023.6819999999998</v>
      </c>
      <c r="Q53" s="23">
        <f t="shared" ref="Q53:AD53" si="58">Q32+Q24-Q7</f>
        <v>2717.6499999999996</v>
      </c>
      <c r="R53" s="23">
        <f t="shared" ca="1" si="58"/>
        <v>2505.7173457898871</v>
      </c>
      <c r="S53" s="23">
        <f t="shared" ca="1" si="58"/>
        <v>2604.2000851658245</v>
      </c>
      <c r="T53" s="23">
        <f t="shared" ca="1" si="58"/>
        <v>2574.7090584808284</v>
      </c>
      <c r="U53" s="23">
        <f t="shared" ca="1" si="58"/>
        <v>2574.7090584808284</v>
      </c>
      <c r="V53" s="23">
        <f t="shared" ca="1" si="58"/>
        <v>2551.7469487997869</v>
      </c>
      <c r="W53" s="23">
        <f t="shared" ca="1" si="58"/>
        <v>2427.8759597379776</v>
      </c>
      <c r="X53" s="23">
        <f t="shared" ca="1" si="58"/>
        <v>2126.7295865334677</v>
      </c>
      <c r="Y53" s="23">
        <f t="shared" ca="1" si="58"/>
        <v>1762.0152523114389</v>
      </c>
      <c r="Z53" s="23">
        <f t="shared" ca="1" si="58"/>
        <v>1107.7490343736231</v>
      </c>
      <c r="AA53" s="23">
        <f t="shared" ca="1" si="58"/>
        <v>295.44129495881907</v>
      </c>
      <c r="AB53" s="23">
        <f t="shared" ca="1" si="58"/>
        <v>-696.90099224007599</v>
      </c>
      <c r="AC53" s="23">
        <f t="shared" ca="1" si="58"/>
        <v>-1894.5433740094427</v>
      </c>
      <c r="AD53" s="23">
        <f t="shared" ca="1" si="58"/>
        <v>-3390.8038032074087</v>
      </c>
    </row>
    <row r="54" spans="1:30">
      <c r="A54" s="45"/>
      <c r="B54" s="29" t="s">
        <v>115</v>
      </c>
      <c r="D54" s="76"/>
      <c r="E54" s="23">
        <f>E32+E24+E29+E34+E33+E27</f>
        <v>928.29599999999994</v>
      </c>
      <c r="F54" s="23">
        <f t="shared" ref="F54:P54" si="59">F32+F24+F29+F34+F33+F27</f>
        <v>1837.0559999999998</v>
      </c>
      <c r="G54" s="23">
        <f t="shared" si="59"/>
        <v>1849.4379999999999</v>
      </c>
      <c r="H54" s="23">
        <f t="shared" si="59"/>
        <v>1917.2650000000001</v>
      </c>
      <c r="I54" s="23">
        <f t="shared" si="59"/>
        <v>2029.009</v>
      </c>
      <c r="J54" s="23">
        <f t="shared" si="59"/>
        <v>2884.8789999999999</v>
      </c>
      <c r="K54" s="23">
        <f t="shared" si="59"/>
        <v>2884.8789999999999</v>
      </c>
      <c r="L54" s="23">
        <f t="shared" si="59"/>
        <v>3107.864</v>
      </c>
      <c r="M54" s="23">
        <f t="shared" si="59"/>
        <v>3249.9090000000001</v>
      </c>
      <c r="N54" s="23">
        <f t="shared" si="59"/>
        <v>3721.5709999999999</v>
      </c>
      <c r="O54" s="23">
        <f t="shared" si="59"/>
        <v>4255.1810000000005</v>
      </c>
      <c r="P54" s="23">
        <f t="shared" si="59"/>
        <v>4255.1810000000005</v>
      </c>
      <c r="Q54" s="23">
        <f t="shared" ref="Q54:AD54" si="60">Q32+Q24+Q29+Q34+Q33+Q27</f>
        <v>4613.8429999999989</v>
      </c>
      <c r="R54" s="23">
        <f t="shared" si="60"/>
        <v>4327.0430437956202</v>
      </c>
      <c r="S54" s="23">
        <f t="shared" si="60"/>
        <v>4342.7390875912406</v>
      </c>
      <c r="T54" s="23">
        <f t="shared" si="60"/>
        <v>4358.435131386861</v>
      </c>
      <c r="U54" s="23">
        <f t="shared" si="60"/>
        <v>4358.435131386861</v>
      </c>
      <c r="V54" s="23">
        <f t="shared" si="60"/>
        <v>4329.8942408759112</v>
      </c>
      <c r="W54" s="23">
        <f t="shared" si="60"/>
        <v>4223.8193284671524</v>
      </c>
      <c r="X54" s="23">
        <f t="shared" si="60"/>
        <v>4131.162864963504</v>
      </c>
      <c r="Y54" s="23">
        <f t="shared" si="60"/>
        <v>3991.1764014598539</v>
      </c>
      <c r="Z54" s="23">
        <f t="shared" si="60"/>
        <v>4003.617437956204</v>
      </c>
      <c r="AA54" s="23">
        <f t="shared" si="60"/>
        <v>4016.6974744525546</v>
      </c>
      <c r="AB54" s="23">
        <f t="shared" si="60"/>
        <v>4029.7775109489048</v>
      </c>
      <c r="AC54" s="23">
        <f t="shared" si="60"/>
        <v>4042.857547445255</v>
      </c>
      <c r="AD54" s="23">
        <f t="shared" si="60"/>
        <v>4055.9375839416057</v>
      </c>
    </row>
    <row r="55" spans="1:30">
      <c r="A55" s="45"/>
      <c r="B55" s="29" t="s">
        <v>116</v>
      </c>
      <c r="D55" s="76"/>
      <c r="E55" s="23">
        <f>SUM(E24,E29,E32,E34)</f>
        <v>835.40800000000002</v>
      </c>
      <c r="F55" s="23">
        <f t="shared" ref="F55:P55" si="61">SUM(F24,F29,F32,F34)</f>
        <v>1631.7559999999999</v>
      </c>
      <c r="G55" s="23">
        <f t="shared" si="61"/>
        <v>1653.7</v>
      </c>
      <c r="H55" s="23">
        <f t="shared" si="61"/>
        <v>1591.4840000000002</v>
      </c>
      <c r="I55" s="23">
        <f t="shared" si="61"/>
        <v>1575.8140000000001</v>
      </c>
      <c r="J55" s="23">
        <f t="shared" si="61"/>
        <v>2430.3720000000003</v>
      </c>
      <c r="K55" s="23">
        <f t="shared" si="61"/>
        <v>2430.3720000000003</v>
      </c>
      <c r="L55" s="23">
        <f t="shared" si="61"/>
        <v>2443.02</v>
      </c>
      <c r="M55" s="23">
        <f t="shared" si="61"/>
        <v>2461.3599999999997</v>
      </c>
      <c r="N55" s="23">
        <f t="shared" si="61"/>
        <v>2986.6379999999999</v>
      </c>
      <c r="O55" s="23">
        <f t="shared" si="61"/>
        <v>3485.3139999999999</v>
      </c>
      <c r="P55" s="23">
        <f t="shared" si="61"/>
        <v>3485.3139999999999</v>
      </c>
      <c r="Q55" s="23">
        <f t="shared" ref="Q55:AD55" si="62">SUM(Q24,Q29,Q32,Q34)</f>
        <v>3846.6570000000002</v>
      </c>
      <c r="R55" s="23">
        <f t="shared" si="62"/>
        <v>3862.3530437956201</v>
      </c>
      <c r="S55" s="23">
        <f t="shared" si="62"/>
        <v>3878.0490875912405</v>
      </c>
      <c r="T55" s="23">
        <f t="shared" si="62"/>
        <v>3893.745131386861</v>
      </c>
      <c r="U55" s="23">
        <f t="shared" si="62"/>
        <v>3893.745131386861</v>
      </c>
      <c r="V55" s="23">
        <f t="shared" si="62"/>
        <v>3932.985240875912</v>
      </c>
      <c r="W55" s="23">
        <f t="shared" si="62"/>
        <v>3964.3773284671533</v>
      </c>
      <c r="X55" s="23">
        <f t="shared" si="62"/>
        <v>3977.4573649635036</v>
      </c>
      <c r="Y55" s="23">
        <f t="shared" si="62"/>
        <v>3990.5374014598538</v>
      </c>
      <c r="Z55" s="23">
        <f t="shared" si="62"/>
        <v>4003.6174379562044</v>
      </c>
      <c r="AA55" s="23">
        <f t="shared" si="62"/>
        <v>4016.6974744525546</v>
      </c>
      <c r="AB55" s="23">
        <f t="shared" si="62"/>
        <v>4029.7775109489048</v>
      </c>
      <c r="AC55" s="23">
        <f t="shared" si="62"/>
        <v>4042.857547445255</v>
      </c>
      <c r="AD55" s="23">
        <f t="shared" si="62"/>
        <v>4055.9375839416057</v>
      </c>
    </row>
    <row r="56" spans="1:30">
      <c r="A56" s="45"/>
      <c r="B56" s="29" t="s">
        <v>117</v>
      </c>
      <c r="D56" s="76"/>
      <c r="E56" s="23">
        <f t="shared" ref="E56:Q56" si="63">E15+E16+E83</f>
        <v>1101.7629999999999</v>
      </c>
      <c r="F56" s="23">
        <f t="shared" si="63"/>
        <v>1775.3989999999999</v>
      </c>
      <c r="G56" s="23">
        <f t="shared" si="63"/>
        <v>1805.2630000000001</v>
      </c>
      <c r="H56" s="23">
        <f t="shared" si="63"/>
        <v>1943.3709999999999</v>
      </c>
      <c r="I56" s="23">
        <f t="shared" si="63"/>
        <v>2233.2649999999999</v>
      </c>
      <c r="J56" s="23">
        <f t="shared" si="63"/>
        <v>3024.547</v>
      </c>
      <c r="K56" s="23">
        <f t="shared" si="63"/>
        <v>3024.547</v>
      </c>
      <c r="L56" s="23">
        <f t="shared" si="63"/>
        <v>3787.8690000000001</v>
      </c>
      <c r="M56" s="23">
        <f t="shared" si="63"/>
        <v>4341.6080000000002</v>
      </c>
      <c r="N56" s="23">
        <f t="shared" si="63"/>
        <v>5396.5910000000003</v>
      </c>
      <c r="O56" s="23">
        <f t="shared" si="63"/>
        <v>5376.232</v>
      </c>
      <c r="P56" s="23">
        <f t="shared" si="63"/>
        <v>5376.232</v>
      </c>
      <c r="Q56" s="23">
        <f t="shared" si="63"/>
        <v>5950.3220000000001</v>
      </c>
      <c r="R56" s="23">
        <f t="shared" ref="R56:AD56" si="64">R15+R16+R83</f>
        <v>5833.5968236992339</v>
      </c>
      <c r="S56" s="23">
        <f t="shared" si="64"/>
        <v>5762.2242104579564</v>
      </c>
      <c r="T56" s="23">
        <f t="shared" si="64"/>
        <v>5627.5846195793147</v>
      </c>
      <c r="U56" s="23">
        <f t="shared" si="64"/>
        <v>5627.5846195793147</v>
      </c>
      <c r="V56" s="23">
        <f t="shared" si="64"/>
        <v>5847.5995743131589</v>
      </c>
      <c r="W56" s="23">
        <f t="shared" si="64"/>
        <v>6037.3913080007687</v>
      </c>
      <c r="X56" s="23">
        <f t="shared" si="64"/>
        <v>6201.5669313528488</v>
      </c>
      <c r="Y56" s="23">
        <f t="shared" si="64"/>
        <v>6385.2104917693105</v>
      </c>
      <c r="Z56" s="23">
        <f t="shared" si="64"/>
        <v>6589.8091600854095</v>
      </c>
      <c r="AA56" s="23">
        <f t="shared" si="64"/>
        <v>6816.9502579344771</v>
      </c>
      <c r="AB56" s="23">
        <f t="shared" si="64"/>
        <v>7068.3364329606047</v>
      </c>
      <c r="AC56" s="23">
        <f t="shared" si="64"/>
        <v>7345.8008118982434</v>
      </c>
      <c r="AD56" s="23">
        <f t="shared" si="64"/>
        <v>7589.6556556960077</v>
      </c>
    </row>
    <row r="57" spans="1:30">
      <c r="A57" s="45"/>
      <c r="B57" s="29" t="s">
        <v>118</v>
      </c>
      <c r="D57" s="76"/>
      <c r="E57" s="23">
        <f>E15+E16+E58</f>
        <v>1066.422</v>
      </c>
      <c r="F57" s="23">
        <f t="shared" ref="F57:P57" si="65">F15+F16+F58</f>
        <v>1611.8229999999999</v>
      </c>
      <c r="G57" s="23">
        <f t="shared" si="65"/>
        <v>1735.1510000000001</v>
      </c>
      <c r="H57" s="23">
        <f t="shared" si="65"/>
        <v>1849.7869999999998</v>
      </c>
      <c r="I57" s="23">
        <f t="shared" si="65"/>
        <v>2164.06</v>
      </c>
      <c r="J57" s="23">
        <f t="shared" si="65"/>
        <v>2885.308</v>
      </c>
      <c r="K57" s="23">
        <f t="shared" si="65"/>
        <v>2885.308</v>
      </c>
      <c r="L57" s="23">
        <f t="shared" si="65"/>
        <v>3687.94</v>
      </c>
      <c r="M57" s="23">
        <f t="shared" si="65"/>
        <v>4178.259</v>
      </c>
      <c r="N57" s="23">
        <f t="shared" si="65"/>
        <v>5241.9890000000005</v>
      </c>
      <c r="O57" s="23">
        <f t="shared" si="65"/>
        <v>5234.2900000000009</v>
      </c>
      <c r="P57" s="23">
        <f t="shared" si="65"/>
        <v>5234.2900000000009</v>
      </c>
      <c r="Q57" s="23">
        <f t="shared" ref="Q57:AD57" si="66">Q15+Q16+Q58</f>
        <v>5811.9139999999998</v>
      </c>
      <c r="R57" s="23">
        <f t="shared" si="66"/>
        <v>5551.1015546793024</v>
      </c>
      <c r="S57" s="23">
        <f t="shared" si="66"/>
        <v>5571.4307246627695</v>
      </c>
      <c r="T57" s="23">
        <f t="shared" si="66"/>
        <v>5418.724633045892</v>
      </c>
      <c r="U57" s="23">
        <f t="shared" si="66"/>
        <v>5418.724633045892</v>
      </c>
      <c r="V57" s="23">
        <f t="shared" si="66"/>
        <v>5602.2746440141382</v>
      </c>
      <c r="W57" s="23">
        <f t="shared" si="66"/>
        <v>5756.5337877855609</v>
      </c>
      <c r="X57" s="23">
        <f t="shared" si="66"/>
        <v>5894.4255464383805</v>
      </c>
      <c r="Y57" s="23">
        <f t="shared" si="66"/>
        <v>6049.5149674892709</v>
      </c>
      <c r="Z57" s="23">
        <f t="shared" si="66"/>
        <v>6223.0995739886757</v>
      </c>
      <c r="AA57" s="23">
        <f t="shared" si="66"/>
        <v>6416.5614967944093</v>
      </c>
      <c r="AB57" s="23">
        <f t="shared" si="66"/>
        <v>6631.3813935198232</v>
      </c>
      <c r="AC57" s="23">
        <f t="shared" si="66"/>
        <v>6869.1522449715585</v>
      </c>
      <c r="AD57" s="23">
        <f t="shared" si="66"/>
        <v>7069.9265453128864</v>
      </c>
    </row>
    <row r="58" spans="1:30">
      <c r="A58" s="45"/>
      <c r="B58" s="29" t="s">
        <v>119</v>
      </c>
      <c r="D58" s="76"/>
      <c r="E58" s="23">
        <f t="shared" ref="E58:P58" si="67">(E8+E9+E10+E11)-(E23+E25+E26+E30)</f>
        <v>131.94099999999997</v>
      </c>
      <c r="F58" s="23">
        <f t="shared" si="67"/>
        <v>9.4230000000000018</v>
      </c>
      <c r="G58" s="23">
        <f t="shared" si="67"/>
        <v>130.05899999999997</v>
      </c>
      <c r="H58" s="23">
        <f t="shared" si="67"/>
        <v>207.73799999999994</v>
      </c>
      <c r="I58" s="23">
        <f t="shared" si="67"/>
        <v>257.92599999999982</v>
      </c>
      <c r="J58" s="23">
        <f t="shared" si="67"/>
        <v>168.98299999999983</v>
      </c>
      <c r="K58" s="23">
        <f t="shared" si="67"/>
        <v>168.98299999999983</v>
      </c>
      <c r="L58" s="23">
        <f t="shared" si="67"/>
        <v>388.24800000000005</v>
      </c>
      <c r="M58" s="23">
        <f t="shared" si="67"/>
        <v>614.505</v>
      </c>
      <c r="N58" s="23">
        <f t="shared" si="67"/>
        <v>679.42900000000009</v>
      </c>
      <c r="O58" s="23">
        <f t="shared" si="67"/>
        <v>613.04300000000012</v>
      </c>
      <c r="P58" s="23">
        <f t="shared" si="67"/>
        <v>613.04300000000012</v>
      </c>
      <c r="Q58" s="23">
        <f t="shared" ref="Q58:AD58" si="68">(Q8+Q9+Q10+Q11)-(Q23+Q25+Q26+Q30)</f>
        <v>1113.2079999999996</v>
      </c>
      <c r="R58" s="23">
        <f t="shared" si="68"/>
        <v>831.9405481890276</v>
      </c>
      <c r="S58" s="23">
        <f t="shared" si="68"/>
        <v>831.81471168222129</v>
      </c>
      <c r="T58" s="23">
        <f t="shared" si="68"/>
        <v>659.01261357506905</v>
      </c>
      <c r="U58" s="23">
        <f t="shared" si="68"/>
        <v>659.01261357506905</v>
      </c>
      <c r="V58" s="23">
        <f t="shared" si="68"/>
        <v>762.53887434978742</v>
      </c>
      <c r="W58" s="23">
        <f t="shared" si="68"/>
        <v>885.28432003124749</v>
      </c>
      <c r="X58" s="23">
        <f t="shared" si="68"/>
        <v>979.03305987815884</v>
      </c>
      <c r="Y58" s="23">
        <f t="shared" si="68"/>
        <v>1081.7671101076571</v>
      </c>
      <c r="Z58" s="23">
        <f t="shared" si="68"/>
        <v>1194.2908569787642</v>
      </c>
      <c r="AA58" s="23">
        <f t="shared" si="68"/>
        <v>1317.4774927739468</v>
      </c>
      <c r="AB58" s="23">
        <f t="shared" si="68"/>
        <v>1452.2747208514506</v>
      </c>
      <c r="AC58" s="23">
        <f t="shared" si="68"/>
        <v>1599.7109234041691</v>
      </c>
      <c r="AD58" s="23">
        <f t="shared" si="68"/>
        <v>1760.9018288495986</v>
      </c>
    </row>
    <row r="59" spans="1:30">
      <c r="A59" s="45"/>
      <c r="B59" s="29" t="s">
        <v>120</v>
      </c>
      <c r="D59" s="76"/>
      <c r="E59" s="23">
        <f>E6-E22</f>
        <v>67.395000000000095</v>
      </c>
      <c r="F59" s="23">
        <f t="shared" ref="F59:P59" si="69">F6-F22</f>
        <v>398.42700000000002</v>
      </c>
      <c r="G59" s="23">
        <f t="shared" si="69"/>
        <v>509.71899999999994</v>
      </c>
      <c r="H59" s="23">
        <f t="shared" si="69"/>
        <v>144.7349999999999</v>
      </c>
      <c r="I59" s="23">
        <f t="shared" si="69"/>
        <v>1532.2710000000002</v>
      </c>
      <c r="J59" s="23">
        <f t="shared" si="69"/>
        <v>1680.5069999999992</v>
      </c>
      <c r="K59" s="23">
        <f t="shared" si="69"/>
        <v>1680.5069999999992</v>
      </c>
      <c r="L59" s="23">
        <f t="shared" si="69"/>
        <v>1265.7529999999997</v>
      </c>
      <c r="M59" s="23">
        <f t="shared" si="69"/>
        <v>1170.4270000000004</v>
      </c>
      <c r="N59" s="23">
        <f t="shared" si="69"/>
        <v>616.07699999999977</v>
      </c>
      <c r="O59" s="23">
        <f t="shared" si="69"/>
        <v>943.54999999999973</v>
      </c>
      <c r="P59" s="23">
        <f t="shared" si="69"/>
        <v>943.54999999999973</v>
      </c>
      <c r="Q59" s="23">
        <f t="shared" ref="Q59:AD59" si="70">Q6-Q22</f>
        <v>1149.9070000000002</v>
      </c>
      <c r="R59" s="23">
        <f t="shared" ca="1" si="70"/>
        <v>1233.0782972896498</v>
      </c>
      <c r="S59" s="23">
        <f t="shared" ca="1" si="70"/>
        <v>1130.9008162974185</v>
      </c>
      <c r="T59" s="23">
        <f t="shared" ca="1" si="70"/>
        <v>984.02083976577251</v>
      </c>
      <c r="U59" s="23">
        <f t="shared" ca="1" si="70"/>
        <v>984.02083976577251</v>
      </c>
      <c r="V59" s="23">
        <f t="shared" ca="1" si="70"/>
        <v>1031.9009474478103</v>
      </c>
      <c r="W59" s="23">
        <f t="shared" ca="1" si="70"/>
        <v>1303.1100719721017</v>
      </c>
      <c r="X59" s="23">
        <f t="shared" ca="1" si="70"/>
        <v>1647.7010974322811</v>
      </c>
      <c r="Y59" s="23">
        <f t="shared" ca="1" si="70"/>
        <v>2264.2418942925688</v>
      </c>
      <c r="Z59" s="23">
        <f t="shared" ca="1" si="70"/>
        <v>3029.0577715102499</v>
      </c>
      <c r="AA59" s="23">
        <f t="shared" ca="1" si="70"/>
        <v>3961.5780591289958</v>
      </c>
      <c r="AB59" s="23">
        <f t="shared" ca="1" si="70"/>
        <v>5085.7434868141554</v>
      </c>
      <c r="AC59" s="23">
        <f t="shared" ca="1" si="70"/>
        <v>6427.8479835449998</v>
      </c>
      <c r="AD59" s="23">
        <f t="shared" ca="1" si="70"/>
        <v>8082.3252305971564</v>
      </c>
    </row>
    <row r="60" spans="1:30">
      <c r="A60" s="45"/>
      <c r="B60" s="77" t="s">
        <v>121</v>
      </c>
      <c r="C60" s="78"/>
      <c r="D60" s="79"/>
      <c r="E60" s="80">
        <f>(E6-E8)/E22</f>
        <v>0.61881135698480338</v>
      </c>
      <c r="F60" s="80">
        <f t="shared" ref="F60:P60" si="71">(F6-F8)/F22</f>
        <v>0.91826144934454712</v>
      </c>
      <c r="G60" s="80">
        <f t="shared" si="71"/>
        <v>0.97697135537959934</v>
      </c>
      <c r="H60" s="80">
        <f t="shared" si="71"/>
        <v>0.56149571608375681</v>
      </c>
      <c r="I60" s="80">
        <f t="shared" si="71"/>
        <v>1.8012478692546661</v>
      </c>
      <c r="J60" s="80">
        <f t="shared" si="71"/>
        <v>1.8518831431685978</v>
      </c>
      <c r="K60" s="80">
        <f t="shared" si="71"/>
        <v>1.8518831431685978</v>
      </c>
      <c r="L60" s="80">
        <f t="shared" si="71"/>
        <v>1.3787146447345522</v>
      </c>
      <c r="M60" s="80">
        <f t="shared" si="71"/>
        <v>1.1408742291990506</v>
      </c>
      <c r="N60" s="80">
        <f t="shared" si="71"/>
        <v>0.61436016409139593</v>
      </c>
      <c r="O60" s="80">
        <f t="shared" si="71"/>
        <v>0.76845491294704593</v>
      </c>
      <c r="P60" s="80">
        <f t="shared" si="71"/>
        <v>0.76845491294704593</v>
      </c>
      <c r="Q60" s="80">
        <f t="shared" ref="Q60:AD60" si="72">(Q6-Q8)/Q22</f>
        <v>0.70440617954112006</v>
      </c>
      <c r="R60" s="80">
        <f t="shared" ca="1" si="72"/>
        <v>0.85089082588710663</v>
      </c>
      <c r="S60" s="80">
        <f t="shared" ca="1" si="72"/>
        <v>0.79687828490621093</v>
      </c>
      <c r="T60" s="80">
        <f t="shared" ca="1" si="72"/>
        <v>0.65575848321171293</v>
      </c>
      <c r="U60" s="80">
        <f t="shared" ca="1" si="72"/>
        <v>0.65575848321171293</v>
      </c>
      <c r="V60" s="80">
        <f t="shared" ca="1" si="72"/>
        <v>0.60647653278798552</v>
      </c>
      <c r="W60" s="80">
        <f t="shared" ca="1" si="72"/>
        <v>0.62925963385958428</v>
      </c>
      <c r="X60" s="80">
        <f t="shared" ca="1" si="72"/>
        <v>0.70057525138186705</v>
      </c>
      <c r="Y60" s="80">
        <f t="shared" ca="1" si="72"/>
        <v>0.8307636284538934</v>
      </c>
      <c r="Z60" s="80">
        <f t="shared" ca="1" si="72"/>
        <v>0.99711273562269942</v>
      </c>
      <c r="AA60" s="80">
        <f t="shared" ca="1" si="72"/>
        <v>1.1813546568647246</v>
      </c>
      <c r="AB60" s="80">
        <f t="shared" ca="1" si="72"/>
        <v>1.382399227751687</v>
      </c>
      <c r="AC60" s="80">
        <f t="shared" ca="1" si="72"/>
        <v>1.5991142073006861</v>
      </c>
      <c r="AD60" s="80">
        <f t="shared" ca="1" si="72"/>
        <v>1.8453463616006416</v>
      </c>
    </row>
    <row r="61" spans="1:30">
      <c r="A61" s="45"/>
      <c r="B61" s="77" t="s">
        <v>122</v>
      </c>
      <c r="C61" s="78"/>
      <c r="D61" s="79"/>
      <c r="E61" s="80">
        <f>E6/E22</f>
        <v>1.0735710706694919</v>
      </c>
      <c r="F61" s="80">
        <f t="shared" ref="F61:P61" si="73">F6/F22</f>
        <v>1.3929729287222636</v>
      </c>
      <c r="G61" s="80">
        <f t="shared" si="73"/>
        <v>1.5935246856078247</v>
      </c>
      <c r="H61" s="80">
        <f t="shared" si="73"/>
        <v>1.1539879839686948</v>
      </c>
      <c r="I61" s="80">
        <f t="shared" si="73"/>
        <v>2.3841565590822822</v>
      </c>
      <c r="J61" s="80">
        <f t="shared" si="73"/>
        <v>2.4113344676591169</v>
      </c>
      <c r="K61" s="80">
        <f t="shared" si="73"/>
        <v>2.4113344676591169</v>
      </c>
      <c r="L61" s="80">
        <f t="shared" si="73"/>
        <v>1.9922073788855319</v>
      </c>
      <c r="M61" s="80">
        <f t="shared" si="73"/>
        <v>1.9996301863587453</v>
      </c>
      <c r="N61" s="80">
        <f t="shared" si="73"/>
        <v>1.4171877475896195</v>
      </c>
      <c r="O61" s="80">
        <f t="shared" si="73"/>
        <v>1.5010144540453112</v>
      </c>
      <c r="P61" s="80">
        <f t="shared" si="73"/>
        <v>1.5010144540453112</v>
      </c>
      <c r="Q61" s="80">
        <f t="shared" ref="Q61:AD61" si="74">Q6/Q22</f>
        <v>1.7058745172808987</v>
      </c>
      <c r="R61" s="80">
        <f t="shared" ca="1" si="74"/>
        <v>1.749295573109745</v>
      </c>
      <c r="S61" s="80">
        <f t="shared" ca="1" si="74"/>
        <v>1.7084235141288635</v>
      </c>
      <c r="T61" s="80">
        <f t="shared" ca="1" si="74"/>
        <v>1.4719038552840908</v>
      </c>
      <c r="U61" s="80">
        <f t="shared" ca="1" si="74"/>
        <v>1.4719038552840908</v>
      </c>
      <c r="V61" s="80">
        <f t="shared" ca="1" si="74"/>
        <v>1.426779679971333</v>
      </c>
      <c r="W61" s="80">
        <f t="shared" ca="1" si="74"/>
        <v>1.4908893351919197</v>
      </c>
      <c r="X61" s="80">
        <f t="shared" ca="1" si="74"/>
        <v>1.5681646927293462</v>
      </c>
      <c r="Y61" s="80">
        <f t="shared" ca="1" si="74"/>
        <v>1.764040619081394</v>
      </c>
      <c r="Z61" s="80">
        <f t="shared" ca="1" si="74"/>
        <v>1.9474844206655957</v>
      </c>
      <c r="AA61" s="80">
        <f t="shared" ca="1" si="74"/>
        <v>2.147651603551556</v>
      </c>
      <c r="AB61" s="80">
        <f t="shared" ca="1" si="74"/>
        <v>2.363794498040781</v>
      </c>
      <c r="AC61" s="80">
        <f t="shared" ca="1" si="74"/>
        <v>2.5948103419075905</v>
      </c>
      <c r="AD61" s="80">
        <f t="shared" ca="1" si="74"/>
        <v>2.8545768335766968</v>
      </c>
    </row>
    <row r="62" spans="1:30">
      <c r="B62" s="39"/>
    </row>
    <row r="63" spans="1:30">
      <c r="B63" s="73" t="s">
        <v>123</v>
      </c>
      <c r="O63" s="13"/>
    </row>
    <row r="64" spans="1:30">
      <c r="B64" s="29" t="s">
        <v>124</v>
      </c>
      <c r="N64" s="13"/>
      <c r="O64" s="13"/>
      <c r="P64" s="81">
        <f>P50/IS!T22</f>
        <v>4.8975396345580631</v>
      </c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spans="1:31">
      <c r="B65" s="29" t="s">
        <v>125</v>
      </c>
      <c r="P65" s="81">
        <f>P52/[3]IS!T31</f>
        <v>3.8329776782430574</v>
      </c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spans="1:31">
      <c r="B66" s="29" t="s">
        <v>126</v>
      </c>
      <c r="K66" s="81"/>
      <c r="P66" s="81">
        <f>P53/[3]IS!T31</f>
        <v>2.7766571962268305</v>
      </c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spans="1:31">
      <c r="B67" s="39"/>
    </row>
    <row r="68" spans="1:31">
      <c r="A68" s="7"/>
      <c r="B68" s="30" t="s">
        <v>127</v>
      </c>
      <c r="C68" s="7"/>
      <c r="D68" s="6">
        <v>2018</v>
      </c>
      <c r="E68" s="6">
        <v>2019</v>
      </c>
      <c r="F68" s="6">
        <v>2020</v>
      </c>
      <c r="G68" s="8" t="s">
        <v>4</v>
      </c>
      <c r="H68" s="8" t="s">
        <v>5</v>
      </c>
      <c r="I68" s="8" t="s">
        <v>6</v>
      </c>
      <c r="J68" s="8" t="s">
        <v>7</v>
      </c>
      <c r="K68" s="6">
        <v>2021</v>
      </c>
      <c r="L68" s="8" t="s">
        <v>8</v>
      </c>
      <c r="M68" s="8" t="s">
        <v>9</v>
      </c>
      <c r="N68" s="8" t="s">
        <v>10</v>
      </c>
      <c r="O68" s="8" t="s">
        <v>11</v>
      </c>
      <c r="P68" s="6">
        <v>2022</v>
      </c>
      <c r="Q68" s="64" t="s">
        <v>100</v>
      </c>
      <c r="R68" s="63" t="s">
        <v>101</v>
      </c>
      <c r="S68" s="63" t="s">
        <v>102</v>
      </c>
      <c r="T68" s="63" t="s">
        <v>103</v>
      </c>
      <c r="U68" s="37">
        <v>2023</v>
      </c>
      <c r="V68" s="37">
        <v>2024</v>
      </c>
      <c r="W68" s="37">
        <v>2025</v>
      </c>
      <c r="X68" s="37">
        <v>2026</v>
      </c>
      <c r="Y68" s="37">
        <v>2027</v>
      </c>
      <c r="Z68" s="37">
        <v>2028</v>
      </c>
      <c r="AA68" s="37">
        <v>2029</v>
      </c>
      <c r="AB68" s="37">
        <v>2030</v>
      </c>
      <c r="AC68" s="37">
        <v>2031</v>
      </c>
      <c r="AD68" s="37">
        <v>2032</v>
      </c>
    </row>
    <row r="69" spans="1:31">
      <c r="B69" s="43" t="s">
        <v>43</v>
      </c>
      <c r="C69" s="82" t="s">
        <v>16</v>
      </c>
      <c r="D69" s="23">
        <f t="shared" ref="D69:P69" si="75">D9</f>
        <v>16.238</v>
      </c>
      <c r="E69" s="23">
        <f t="shared" si="75"/>
        <v>18.515000000000001</v>
      </c>
      <c r="F69" s="23">
        <f t="shared" si="75"/>
        <v>37.5</v>
      </c>
      <c r="G69" s="23">
        <f t="shared" si="75"/>
        <v>41.06</v>
      </c>
      <c r="H69" s="23">
        <f t="shared" si="75"/>
        <v>52.817999999999998</v>
      </c>
      <c r="I69" s="23">
        <f t="shared" si="75"/>
        <v>55.454000000000001</v>
      </c>
      <c r="J69" s="23">
        <f t="shared" si="75"/>
        <v>69.41</v>
      </c>
      <c r="K69" s="23">
        <f t="shared" si="75"/>
        <v>69.41</v>
      </c>
      <c r="L69" s="23">
        <f t="shared" si="75"/>
        <v>114.998</v>
      </c>
      <c r="M69" s="23">
        <f t="shared" si="75"/>
        <v>109.38500000000001</v>
      </c>
      <c r="N69" s="23">
        <f t="shared" si="75"/>
        <v>132.16</v>
      </c>
      <c r="O69" s="23">
        <f t="shared" si="75"/>
        <v>163.93700000000001</v>
      </c>
      <c r="P69" s="23">
        <f t="shared" si="75"/>
        <v>163.93700000000001</v>
      </c>
      <c r="Q69" s="23">
        <f t="shared" ref="Q69" si="76">Q9</f>
        <v>151.44399999999999</v>
      </c>
      <c r="R69" s="23">
        <f>R79*R74/R78</f>
        <v>174.92834932864676</v>
      </c>
      <c r="S69" s="23">
        <f t="shared" ref="S69:T69" si="77">S79*S74/S78</f>
        <v>162.61713335318677</v>
      </c>
      <c r="T69" s="23">
        <f t="shared" si="77"/>
        <v>218.87846191801458</v>
      </c>
      <c r="U69" s="23">
        <f>T69</f>
        <v>218.87846191801458</v>
      </c>
      <c r="V69" s="23">
        <f>V79*V74/V78</f>
        <v>256.0323638822004</v>
      </c>
      <c r="W69" s="23">
        <f t="shared" ref="W69:AD69" si="78">W79*W74/W78</f>
        <v>294.24669542063606</v>
      </c>
      <c r="X69" s="23">
        <f t="shared" si="78"/>
        <v>322.78573312153674</v>
      </c>
      <c r="Y69" s="23">
        <f t="shared" si="78"/>
        <v>353.87145642029515</v>
      </c>
      <c r="Z69" s="23">
        <f t="shared" si="78"/>
        <v>387.72154926685198</v>
      </c>
      <c r="AA69" s="23">
        <f t="shared" si="78"/>
        <v>424.57180123153375</v>
      </c>
      <c r="AB69" s="23">
        <f t="shared" si="78"/>
        <v>464.67758411516979</v>
      </c>
      <c r="AC69" s="23">
        <f t="shared" si="78"/>
        <v>508.31544717362584</v>
      </c>
      <c r="AD69" s="23">
        <f t="shared" si="78"/>
        <v>555.7848403700475</v>
      </c>
    </row>
    <row r="70" spans="1:31">
      <c r="B70" s="43" t="s">
        <v>42</v>
      </c>
      <c r="C70" s="82" t="s">
        <v>16</v>
      </c>
      <c r="D70" s="23">
        <f t="shared" ref="D70:Q70" si="79">D8</f>
        <v>314.44799999999998</v>
      </c>
      <c r="E70" s="23">
        <f t="shared" si="79"/>
        <v>416.584</v>
      </c>
      <c r="F70" s="23">
        <f t="shared" si="79"/>
        <v>481.3</v>
      </c>
      <c r="G70" s="23">
        <f t="shared" si="79"/>
        <v>529.49599999999998</v>
      </c>
      <c r="H70" s="23">
        <f t="shared" si="79"/>
        <v>556.89</v>
      </c>
      <c r="I70" s="23">
        <f t="shared" si="79"/>
        <v>645.28399999999999</v>
      </c>
      <c r="J70" s="23">
        <f t="shared" si="79"/>
        <v>666.15099999999995</v>
      </c>
      <c r="K70" s="23">
        <f t="shared" si="79"/>
        <v>666.15099999999995</v>
      </c>
      <c r="L70" s="23">
        <f t="shared" si="79"/>
        <v>782.62900000000002</v>
      </c>
      <c r="M70" s="23">
        <f t="shared" si="79"/>
        <v>1005.4829999999999</v>
      </c>
      <c r="N70" s="23">
        <f t="shared" si="79"/>
        <v>1185.566</v>
      </c>
      <c r="O70" s="23">
        <f t="shared" si="79"/>
        <v>1379.614</v>
      </c>
      <c r="P70" s="23">
        <f t="shared" si="79"/>
        <v>1379.614</v>
      </c>
      <c r="Q70" s="23">
        <f t="shared" si="79"/>
        <v>1631.4449999999999</v>
      </c>
      <c r="R70" s="23">
        <f>R80*R73/R78</f>
        <v>1478.4598171114185</v>
      </c>
      <c r="S70" s="23">
        <f t="shared" ref="S70:T70" si="80">S80*S73/S78</f>
        <v>1455.1567293577987</v>
      </c>
      <c r="T70" s="23">
        <f t="shared" si="80"/>
        <v>1701.8382990622815</v>
      </c>
      <c r="U70" s="23">
        <f t="shared" ref="U70:U71" si="81">T70</f>
        <v>1701.8382990622815</v>
      </c>
      <c r="V70" s="23">
        <f>V80*V73/V78</f>
        <v>1983.3924493072741</v>
      </c>
      <c r="W70" s="23">
        <f t="shared" ref="W70:AD70" si="82">W80*W73/W78</f>
        <v>2287.2738550685913</v>
      </c>
      <c r="X70" s="23">
        <f t="shared" si="82"/>
        <v>2516.0452469542633</v>
      </c>
      <c r="Y70" s="23">
        <f t="shared" si="82"/>
        <v>2765.7755469843187</v>
      </c>
      <c r="Z70" s="23">
        <f t="shared" si="82"/>
        <v>3038.2882035993848</v>
      </c>
      <c r="AA70" s="23">
        <f t="shared" si="82"/>
        <v>3335.559999874059</v>
      </c>
      <c r="AB70" s="23">
        <f t="shared" si="82"/>
        <v>3659.733640979779</v>
      </c>
      <c r="AC70" s="23">
        <f t="shared" si="82"/>
        <v>4013.1313566735025</v>
      </c>
      <c r="AD70" s="23">
        <f t="shared" si="82"/>
        <v>4398.2695995443182</v>
      </c>
    </row>
    <row r="71" spans="1:31">
      <c r="B71" s="43" t="s">
        <v>129</v>
      </c>
      <c r="C71" s="82" t="s">
        <v>16</v>
      </c>
      <c r="D71" s="23">
        <f t="shared" ref="D71:Q71" si="83">D23</f>
        <v>212.834</v>
      </c>
      <c r="E71" s="23">
        <f t="shared" si="83"/>
        <v>267.81700000000001</v>
      </c>
      <c r="F71" s="23">
        <f t="shared" si="83"/>
        <v>345.80099999999999</v>
      </c>
      <c r="G71" s="23">
        <f t="shared" si="83"/>
        <v>370.38499999999999</v>
      </c>
      <c r="H71" s="23">
        <f t="shared" si="83"/>
        <v>308.38600000000002</v>
      </c>
      <c r="I71" s="23">
        <f t="shared" si="83"/>
        <v>373.60700000000003</v>
      </c>
      <c r="J71" s="23">
        <f t="shared" si="83"/>
        <v>427.339</v>
      </c>
      <c r="K71" s="23">
        <f t="shared" si="83"/>
        <v>427.339</v>
      </c>
      <c r="L71" s="23">
        <f t="shared" si="83"/>
        <v>409.45</v>
      </c>
      <c r="M71" s="23">
        <f t="shared" si="83"/>
        <v>337.01400000000001</v>
      </c>
      <c r="N71" s="23">
        <f t="shared" si="83"/>
        <v>483.69499999999999</v>
      </c>
      <c r="O71" s="23">
        <f t="shared" si="83"/>
        <v>788.56600000000003</v>
      </c>
      <c r="P71" s="23">
        <f t="shared" si="83"/>
        <v>788.56600000000003</v>
      </c>
      <c r="Q71" s="23">
        <f t="shared" si="83"/>
        <v>531.27300000000002</v>
      </c>
      <c r="R71" s="23">
        <f>R81*R74/R78</f>
        <v>538.95234923110627</v>
      </c>
      <c r="S71" s="23">
        <f t="shared" ref="S71:T71" si="84">S81*S74/S78</f>
        <v>595.16566523357801</v>
      </c>
      <c r="T71" s="23">
        <f t="shared" si="84"/>
        <v>1052.8441608718049</v>
      </c>
      <c r="U71" s="23">
        <f t="shared" si="81"/>
        <v>1052.8441608718049</v>
      </c>
      <c r="V71" s="23">
        <f>V81*V74/V78</f>
        <v>1231.5610085406663</v>
      </c>
      <c r="W71" s="23">
        <f t="shared" ref="W71:AD71" si="85">W81*W74/W78</f>
        <v>1415.3787102427721</v>
      </c>
      <c r="X71" s="23">
        <f t="shared" si="85"/>
        <v>1552.656535283174</v>
      </c>
      <c r="Y71" s="23">
        <f t="shared" si="85"/>
        <v>1702.1843690169176</v>
      </c>
      <c r="Z71" s="23">
        <f t="shared" si="85"/>
        <v>1865.0093097907391</v>
      </c>
      <c r="AA71" s="23">
        <f t="shared" si="85"/>
        <v>2042.2655471915778</v>
      </c>
      <c r="AB71" s="23">
        <f t="shared" si="85"/>
        <v>2235.1814648027171</v>
      </c>
      <c r="AC71" s="23">
        <f t="shared" si="85"/>
        <v>2445.0873135162742</v>
      </c>
      <c r="AD71" s="23">
        <f t="shared" si="85"/>
        <v>2673.4235006816457</v>
      </c>
    </row>
    <row r="72" spans="1:31">
      <c r="B72" s="43"/>
      <c r="C72" s="82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31">
      <c r="B73" s="43" t="s">
        <v>15</v>
      </c>
      <c r="C73" s="82" t="s">
        <v>16</v>
      </c>
      <c r="D73" s="23">
        <f>IS!D5</f>
        <v>0</v>
      </c>
      <c r="E73" s="23">
        <f>IS!E5</f>
        <v>0</v>
      </c>
      <c r="F73" s="23">
        <f>IS!J5</f>
        <v>2220.8116125500001</v>
      </c>
      <c r="G73" s="23">
        <f>IS!K5</f>
        <v>657.30799999999999</v>
      </c>
      <c r="H73" s="23">
        <f>IS!L5</f>
        <v>702.16700000000003</v>
      </c>
      <c r="I73" s="23">
        <f>IS!M5</f>
        <v>744.12800000000004</v>
      </c>
      <c r="J73" s="23">
        <f>IS!N5</f>
        <v>819.93</v>
      </c>
      <c r="K73" s="23">
        <f>IS!O5</f>
        <v>2923.5329999999999</v>
      </c>
      <c r="L73" s="23">
        <f>IS!P5</f>
        <v>879.38599999999997</v>
      </c>
      <c r="M73" s="23">
        <f>IS!Q5</f>
        <v>983.58199999999999</v>
      </c>
      <c r="N73" s="23">
        <f>IS!R5</f>
        <v>1253.17</v>
      </c>
      <c r="O73" s="23">
        <f>IS!S5</f>
        <v>1324.105</v>
      </c>
      <c r="P73" s="23">
        <f>IS!T5</f>
        <v>4440.2430000000004</v>
      </c>
      <c r="Q73" s="23">
        <f>IS!U5</f>
        <v>1395.6</v>
      </c>
      <c r="R73" s="23">
        <f>IS!V5</f>
        <v>1446.2566386841779</v>
      </c>
      <c r="S73" s="23">
        <f>IS!W5</f>
        <v>1538.1334809949956</v>
      </c>
      <c r="T73" s="23">
        <f>IS!X5</f>
        <v>1633.3645505046063</v>
      </c>
      <c r="U73" s="23">
        <f>IS!Y5</f>
        <v>6013.3546701837786</v>
      </c>
      <c r="V73" s="23">
        <f>IS!Z5</f>
        <v>7008.2112116179715</v>
      </c>
      <c r="W73" s="23">
        <f>IS!AA5</f>
        <v>8081.9599170758884</v>
      </c>
      <c r="X73" s="23">
        <f>IS!AB5</f>
        <v>8890.3114029709686</v>
      </c>
      <c r="Y73" s="23">
        <f>IS!AC5</f>
        <v>9772.7200705862051</v>
      </c>
      <c r="Z73" s="23">
        <f>IS!AD5</f>
        <v>10735.628977527207</v>
      </c>
      <c r="AA73" s="23">
        <f>IS!AE5</f>
        <v>11786.022981133312</v>
      </c>
      <c r="AB73" s="23">
        <f>IS!AF5</f>
        <v>12931.473215604867</v>
      </c>
      <c r="AC73" s="23">
        <f>IS!AG5</f>
        <v>14180.185155669955</v>
      </c>
      <c r="AD73" s="23">
        <f>IS!AH5</f>
        <v>15541.05055205321</v>
      </c>
    </row>
    <row r="74" spans="1:31">
      <c r="B74" s="43" t="s">
        <v>130</v>
      </c>
      <c r="C74" s="82" t="s">
        <v>16</v>
      </c>
      <c r="D74" s="23">
        <f>-IS!D9</f>
        <v>741.43</v>
      </c>
      <c r="E74" s="23">
        <f>-IS!E9</f>
        <v>1228.981</v>
      </c>
      <c r="F74" s="23">
        <f>-IS!J9</f>
        <v>1399.4590000000001</v>
      </c>
      <c r="G74" s="23">
        <f>-IS!K9</f>
        <v>419.78228619999999</v>
      </c>
      <c r="H74" s="23">
        <f>-IS!L9</f>
        <v>450.70571380000001</v>
      </c>
      <c r="I74" s="23">
        <f>-IS!M9</f>
        <v>460.52</v>
      </c>
      <c r="J74" s="23">
        <f>-IS!N9</f>
        <v>502.267</v>
      </c>
      <c r="K74" s="23">
        <f>-IS!O9</f>
        <v>1833.2750000000001</v>
      </c>
      <c r="L74" s="23">
        <f>-IS!P9</f>
        <v>536.62099999999998</v>
      </c>
      <c r="M74" s="23">
        <f>-IS!Q9</f>
        <v>578.61400000000003</v>
      </c>
      <c r="N74" s="23">
        <f>-IS!R9</f>
        <v>756.47299999999996</v>
      </c>
      <c r="O74" s="23">
        <f>-IS!S9</f>
        <v>764.43700000000001</v>
      </c>
      <c r="P74" s="23">
        <f>-IS!T9</f>
        <v>2636.145</v>
      </c>
      <c r="Q74" s="23">
        <f>-IS!U9</f>
        <v>822.9</v>
      </c>
      <c r="R74" s="23">
        <f>-IS!V9</f>
        <v>925.31875411112685</v>
      </c>
      <c r="S74" s="23">
        <f>-IS!W9</f>
        <v>930.80713316499123</v>
      </c>
      <c r="T74" s="23">
        <f>-IS!X9</f>
        <v>1020.6286243692473</v>
      </c>
      <c r="U74" s="23">
        <f>-IS!Y9</f>
        <v>3699.6545116453653</v>
      </c>
      <c r="V74" s="23">
        <f>-IS!Z9</f>
        <v>4327.6587466098672</v>
      </c>
      <c r="W74" s="23">
        <f>-IS!AA9</f>
        <v>4973.5871894853572</v>
      </c>
      <c r="X74" s="23">
        <f>-IS!AB9</f>
        <v>5455.976268168225</v>
      </c>
      <c r="Y74" s="23">
        <f>-IS!AC9</f>
        <v>5981.4114135097025</v>
      </c>
      <c r="Z74" s="23">
        <f>-IS!AD9</f>
        <v>6553.5720894481474</v>
      </c>
      <c r="AA74" s="23">
        <f>-IS!AE9</f>
        <v>7176.4437952419776</v>
      </c>
      <c r="AB74" s="23">
        <f>-IS!AF9</f>
        <v>7854.3430242857721</v>
      </c>
      <c r="AC74" s="23">
        <f>-IS!AG9</f>
        <v>8591.9442278397873</v>
      </c>
      <c r="AD74" s="23">
        <f>-IS!AH9</f>
        <v>9394.3089427836985</v>
      </c>
    </row>
    <row r="75" spans="1:31">
      <c r="B75" s="39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 spans="1:31">
      <c r="A76" s="11"/>
      <c r="B76" s="40" t="s">
        <v>131</v>
      </c>
      <c r="C76" s="84" t="s">
        <v>132</v>
      </c>
      <c r="D76" s="84"/>
      <c r="E76" s="84"/>
      <c r="F76" s="95">
        <f t="shared" ref="F76" si="86">F79+F80</f>
        <v>87.666710033302891</v>
      </c>
      <c r="G76" s="95">
        <f t="shared" ref="G76:Q76" si="87">G79+G80</f>
        <v>81.302845618164355</v>
      </c>
      <c r="H76" s="95">
        <f t="shared" si="87"/>
        <v>81.926232873962732</v>
      </c>
      <c r="I76" s="95">
        <f t="shared" si="87"/>
        <v>88.88256589727105</v>
      </c>
      <c r="J76" s="95">
        <f t="shared" si="87"/>
        <v>85.55778491822231</v>
      </c>
      <c r="K76" s="95">
        <f t="shared" si="87"/>
        <v>95.658989743929766</v>
      </c>
      <c r="L76" s="95">
        <f t="shared" si="87"/>
        <v>99.38450855053452</v>
      </c>
      <c r="M76" s="95">
        <f t="shared" si="87"/>
        <v>109.01818406894522</v>
      </c>
      <c r="N76" s="95">
        <f t="shared" si="87"/>
        <v>100.86832047385126</v>
      </c>
      <c r="O76" s="95">
        <f t="shared" si="87"/>
        <v>113.07388151992473</v>
      </c>
      <c r="P76" s="95">
        <f t="shared" si="87"/>
        <v>134.24220946768671</v>
      </c>
      <c r="Q76" s="95">
        <f t="shared" si="87"/>
        <v>121.77258965916211</v>
      </c>
      <c r="R76" s="95">
        <f>R79+R80</f>
        <v>109.01818406894522</v>
      </c>
      <c r="S76" s="95">
        <f t="shared" ref="S76:U76" si="88">S79+S80</f>
        <v>100.86832047385126</v>
      </c>
      <c r="T76" s="95">
        <f t="shared" si="88"/>
        <v>113.07388151992473</v>
      </c>
      <c r="U76" s="95">
        <f t="shared" si="88"/>
        <v>123.18179930416758</v>
      </c>
      <c r="V76" s="95">
        <f t="shared" ref="V76:AD76" si="89">V79+V80</f>
        <v>123.18179930416758</v>
      </c>
      <c r="W76" s="95">
        <f t="shared" si="89"/>
        <v>123.18179930416758</v>
      </c>
      <c r="X76" s="95">
        <f t="shared" si="89"/>
        <v>123.18179930416758</v>
      </c>
      <c r="Y76" s="95">
        <f t="shared" si="89"/>
        <v>123.18179930416758</v>
      </c>
      <c r="Z76" s="95">
        <f t="shared" si="89"/>
        <v>123.18179930416758</v>
      </c>
      <c r="AA76" s="95">
        <f t="shared" si="89"/>
        <v>123.18179930416758</v>
      </c>
      <c r="AB76" s="95">
        <f t="shared" si="89"/>
        <v>123.18179930416758</v>
      </c>
      <c r="AC76" s="95">
        <f t="shared" si="89"/>
        <v>123.18179930416758</v>
      </c>
      <c r="AD76" s="95">
        <f t="shared" si="89"/>
        <v>123.18179930416758</v>
      </c>
    </row>
    <row r="77" spans="1:31">
      <c r="A77" s="11"/>
      <c r="B77" s="40" t="s">
        <v>133</v>
      </c>
      <c r="C77" s="84" t="s">
        <v>132</v>
      </c>
      <c r="D77" s="84"/>
      <c r="E77" s="84"/>
      <c r="F77" s="42">
        <f t="shared" ref="F77" si="90">F76-F81</f>
        <v>-1.2879217208249543</v>
      </c>
      <c r="G77" s="42">
        <f t="shared" ref="G77" si="91">G76-G81</f>
        <v>1.8934681959876372</v>
      </c>
      <c r="H77" s="42">
        <f t="shared" ref="H77" si="92">H76-H81</f>
        <v>20.345606868595233</v>
      </c>
      <c r="I77" s="42">
        <f t="shared" ref="I77" si="93">I76-I81</f>
        <v>15.868082270067006</v>
      </c>
      <c r="J77" s="42">
        <f t="shared" ref="J77" si="94">J76-J81</f>
        <v>8.9839506826464088</v>
      </c>
      <c r="K77" s="42">
        <f t="shared" ref="K77" si="95">K76-K81</f>
        <v>11.74247967315479</v>
      </c>
      <c r="L77" s="42">
        <f t="shared" ref="L77" si="96">L76-L81</f>
        <v>30.713137135699839</v>
      </c>
      <c r="M77" s="42">
        <f t="shared" ref="M77" si="97">M76-M81</f>
        <v>56.597641185433929</v>
      </c>
      <c r="N77" s="42">
        <f t="shared" ref="N77" si="98">N76-N81</f>
        <v>43.321587146951281</v>
      </c>
      <c r="O77" s="42">
        <f t="shared" ref="O77" si="99">O76-O81</f>
        <v>20.233084959841946</v>
      </c>
      <c r="P77" s="42">
        <f t="shared" ref="P77" si="100">P76-P81</f>
        <v>26.553231812815667</v>
      </c>
      <c r="Q77" s="42">
        <f t="shared" ref="Q77" si="101">Q76-Q81</f>
        <v>63.667631584061851</v>
      </c>
      <c r="R77" s="42">
        <f>R76-R81</f>
        <v>56.597641185433929</v>
      </c>
      <c r="S77" s="42">
        <f t="shared" ref="S77:U77" si="102">S76-S81</f>
        <v>43.321587146951281</v>
      </c>
      <c r="T77" s="42">
        <f t="shared" si="102"/>
        <v>20.233084959841946</v>
      </c>
      <c r="U77" s="42">
        <f t="shared" si="102"/>
        <v>20.733341827719428</v>
      </c>
      <c r="V77" s="42">
        <f t="shared" ref="V77" si="103">V76-V81</f>
        <v>20.733341827719428</v>
      </c>
      <c r="W77" s="42">
        <f t="shared" ref="W77" si="104">W76-W81</f>
        <v>20.733341827719428</v>
      </c>
      <c r="X77" s="42">
        <f t="shared" ref="X77" si="105">X76-X81</f>
        <v>20.733341827719428</v>
      </c>
      <c r="Y77" s="42">
        <f t="shared" ref="Y77" si="106">Y76-Y81</f>
        <v>20.733341827719428</v>
      </c>
      <c r="Z77" s="42">
        <f t="shared" ref="Z77" si="107">Z76-Z81</f>
        <v>20.733341827719428</v>
      </c>
      <c r="AA77" s="42">
        <f t="shared" ref="AA77" si="108">AA76-AA81</f>
        <v>20.733341827719428</v>
      </c>
      <c r="AB77" s="42">
        <f t="shared" ref="AB77" si="109">AB76-AB81</f>
        <v>20.733341827719428</v>
      </c>
      <c r="AC77" s="42">
        <f t="shared" ref="AC77" si="110">AC76-AC81</f>
        <v>20.733341827719428</v>
      </c>
      <c r="AD77" s="42">
        <f t="shared" ref="AD77" si="111">AD76-AD81</f>
        <v>20.733341827719428</v>
      </c>
    </row>
    <row r="78" spans="1:31">
      <c r="A78" s="11"/>
      <c r="B78" s="43" t="s">
        <v>134</v>
      </c>
      <c r="C78" s="82" t="s">
        <v>132</v>
      </c>
      <c r="D78" s="15"/>
      <c r="E78" s="15"/>
      <c r="F78" s="15">
        <v>360</v>
      </c>
      <c r="G78" s="15">
        <v>90</v>
      </c>
      <c r="H78" s="15">
        <v>90</v>
      </c>
      <c r="I78" s="15">
        <v>90</v>
      </c>
      <c r="J78" s="15">
        <v>90</v>
      </c>
      <c r="K78" s="15">
        <v>360</v>
      </c>
      <c r="L78" s="15">
        <v>90</v>
      </c>
      <c r="M78" s="15">
        <v>90</v>
      </c>
      <c r="N78" s="15">
        <v>90</v>
      </c>
      <c r="O78" s="15">
        <v>90</v>
      </c>
      <c r="P78" s="15">
        <v>360</v>
      </c>
      <c r="Q78" s="15">
        <v>90</v>
      </c>
      <c r="R78" s="15">
        <f>90</f>
        <v>90</v>
      </c>
      <c r="S78" s="15">
        <f>90</f>
        <v>90</v>
      </c>
      <c r="T78" s="15">
        <f>90</f>
        <v>90</v>
      </c>
      <c r="U78" s="15">
        <v>360</v>
      </c>
      <c r="V78" s="15">
        <v>360</v>
      </c>
      <c r="W78" s="15">
        <v>360</v>
      </c>
      <c r="X78" s="15">
        <v>360</v>
      </c>
      <c r="Y78" s="15">
        <v>360</v>
      </c>
      <c r="Z78" s="15">
        <v>360</v>
      </c>
      <c r="AA78" s="15">
        <v>360</v>
      </c>
      <c r="AB78" s="15">
        <v>360</v>
      </c>
      <c r="AC78" s="15">
        <v>360</v>
      </c>
      <c r="AD78" s="15">
        <v>360</v>
      </c>
      <c r="AE78" s="15"/>
    </row>
    <row r="79" spans="1:31">
      <c r="B79" s="43" t="s">
        <v>336</v>
      </c>
      <c r="C79" s="82" t="s">
        <v>132</v>
      </c>
      <c r="D79" s="85"/>
      <c r="E79" s="85"/>
      <c r="F79" s="85">
        <f t="shared" ref="F79" si="112">F69*F78/F74</f>
        <v>9.6465848588633172</v>
      </c>
      <c r="G79" s="85">
        <f t="shared" ref="G79" si="113">G69*G78/G74</f>
        <v>8.8031346759576543</v>
      </c>
      <c r="H79" s="85">
        <f t="shared" ref="H79" si="114">H69*H78/H74</f>
        <v>10.547059543401776</v>
      </c>
      <c r="I79" s="85">
        <f t="shared" ref="I79" si="115">I69*I78/I74</f>
        <v>10.837444627812038</v>
      </c>
      <c r="J79" s="85">
        <f t="shared" ref="J79" si="116">J69*J78/J74</f>
        <v>12.437408788552702</v>
      </c>
      <c r="K79" s="85">
        <f t="shared" ref="K79" si="117">K69*K78/K74</f>
        <v>13.630033682889909</v>
      </c>
      <c r="L79" s="85">
        <f t="shared" ref="L79" si="118">L69*L78/L74</f>
        <v>19.287020075621342</v>
      </c>
      <c r="M79" s="85">
        <f t="shared" ref="M79" si="119">M69*M78/M74</f>
        <v>17.014192535956614</v>
      </c>
      <c r="N79" s="85">
        <f t="shared" ref="N79" si="120">N69*N78/N74</f>
        <v>15.723495749352589</v>
      </c>
      <c r="O79" s="85">
        <f t="shared" ref="O79" si="121">O69*O78/O74</f>
        <v>19.300910343167587</v>
      </c>
      <c r="P79" s="85">
        <f t="shared" ref="P79" si="122">P69*P78/P74</f>
        <v>22.387736638159133</v>
      </c>
      <c r="Q79" s="85">
        <f t="shared" ref="Q79" si="123">Q69*Q78/Q74</f>
        <v>16.563324826831934</v>
      </c>
      <c r="R79" s="86">
        <f>M79</f>
        <v>17.014192535956614</v>
      </c>
      <c r="S79" s="86">
        <f t="shared" ref="S79:T81" si="124">N79</f>
        <v>15.723495749352589</v>
      </c>
      <c r="T79" s="86">
        <f t="shared" si="124"/>
        <v>19.300910343167587</v>
      </c>
      <c r="U79" s="86">
        <f>(U69/U74)*U78</f>
        <v>21.298271512234209</v>
      </c>
      <c r="V79" s="86">
        <f>U79</f>
        <v>21.298271512234209</v>
      </c>
      <c r="W79" s="86">
        <f t="shared" ref="W79:AD79" si="125">V79</f>
        <v>21.298271512234209</v>
      </c>
      <c r="X79" s="86">
        <f t="shared" si="125"/>
        <v>21.298271512234209</v>
      </c>
      <c r="Y79" s="86">
        <f t="shared" si="125"/>
        <v>21.298271512234209</v>
      </c>
      <c r="Z79" s="86">
        <f t="shared" si="125"/>
        <v>21.298271512234209</v>
      </c>
      <c r="AA79" s="86">
        <f t="shared" si="125"/>
        <v>21.298271512234209</v>
      </c>
      <c r="AB79" s="86">
        <f t="shared" si="125"/>
        <v>21.298271512234209</v>
      </c>
      <c r="AC79" s="86">
        <f t="shared" si="125"/>
        <v>21.298271512234209</v>
      </c>
      <c r="AD79" s="86">
        <f t="shared" si="125"/>
        <v>21.298271512234209</v>
      </c>
    </row>
    <row r="80" spans="1:31">
      <c r="B80" s="43" t="s">
        <v>337</v>
      </c>
      <c r="C80" s="82" t="s">
        <v>132</v>
      </c>
      <c r="D80" s="85"/>
      <c r="E80" s="85"/>
      <c r="F80" s="85">
        <f t="shared" ref="F80" si="126">F70*F78/F73</f>
        <v>78.020125174439571</v>
      </c>
      <c r="G80" s="85">
        <f t="shared" ref="G80:Q80" si="127">G70*G78/G73</f>
        <v>72.499710942206704</v>
      </c>
      <c r="H80" s="85">
        <f t="shared" si="127"/>
        <v>71.37917333056096</v>
      </c>
      <c r="I80" s="85">
        <f t="shared" si="127"/>
        <v>78.045121269459017</v>
      </c>
      <c r="J80" s="85">
        <f t="shared" si="127"/>
        <v>73.120376129669609</v>
      </c>
      <c r="K80" s="85">
        <f t="shared" si="127"/>
        <v>82.02895606103985</v>
      </c>
      <c r="L80" s="85">
        <f t="shared" si="127"/>
        <v>80.097488474913177</v>
      </c>
      <c r="M80" s="85">
        <f t="shared" si="127"/>
        <v>92.003991532988607</v>
      </c>
      <c r="N80" s="85">
        <f t="shared" si="127"/>
        <v>85.144824724498662</v>
      </c>
      <c r="O80" s="85">
        <f t="shared" si="127"/>
        <v>93.772971176757139</v>
      </c>
      <c r="P80" s="85">
        <f t="shared" si="127"/>
        <v>111.85447282952757</v>
      </c>
      <c r="Q80" s="85">
        <f t="shared" si="127"/>
        <v>105.20926483233018</v>
      </c>
      <c r="R80" s="86">
        <f>M80</f>
        <v>92.003991532988607</v>
      </c>
      <c r="S80" s="86">
        <f t="shared" si="124"/>
        <v>85.144824724498662</v>
      </c>
      <c r="T80" s="86">
        <f t="shared" si="124"/>
        <v>93.772971176757139</v>
      </c>
      <c r="U80" s="86">
        <f>(U70/U73)*U78</f>
        <v>101.88352779193337</v>
      </c>
      <c r="V80" s="86">
        <f t="shared" ref="V80:AD81" si="128">U80</f>
        <v>101.88352779193337</v>
      </c>
      <c r="W80" s="86">
        <f t="shared" si="128"/>
        <v>101.88352779193337</v>
      </c>
      <c r="X80" s="86">
        <f t="shared" si="128"/>
        <v>101.88352779193337</v>
      </c>
      <c r="Y80" s="86">
        <f t="shared" si="128"/>
        <v>101.88352779193337</v>
      </c>
      <c r="Z80" s="86">
        <f t="shared" si="128"/>
        <v>101.88352779193337</v>
      </c>
      <c r="AA80" s="86">
        <f t="shared" si="128"/>
        <v>101.88352779193337</v>
      </c>
      <c r="AB80" s="86">
        <f t="shared" si="128"/>
        <v>101.88352779193337</v>
      </c>
      <c r="AC80" s="86">
        <f t="shared" si="128"/>
        <v>101.88352779193337</v>
      </c>
      <c r="AD80" s="86">
        <f t="shared" si="128"/>
        <v>101.88352779193337</v>
      </c>
    </row>
    <row r="81" spans="1:30">
      <c r="B81" s="43" t="s">
        <v>338</v>
      </c>
      <c r="C81" s="82" t="s">
        <v>132</v>
      </c>
      <c r="D81" s="85"/>
      <c r="E81" s="85"/>
      <c r="F81" s="85">
        <f t="shared" ref="F81" si="129">F71*F78/F74</f>
        <v>88.954631754127846</v>
      </c>
      <c r="G81" s="85">
        <f t="shared" ref="G81:Q81" si="130">G71*G78/G74</f>
        <v>79.409377422176718</v>
      </c>
      <c r="H81" s="85">
        <f t="shared" si="130"/>
        <v>61.580626005367499</v>
      </c>
      <c r="I81" s="85">
        <f t="shared" si="130"/>
        <v>73.014483627204044</v>
      </c>
      <c r="J81" s="85">
        <f t="shared" si="130"/>
        <v>76.573834235575902</v>
      </c>
      <c r="K81" s="85">
        <f t="shared" si="130"/>
        <v>83.916510070774976</v>
      </c>
      <c r="L81" s="85">
        <f t="shared" si="130"/>
        <v>68.671371414834681</v>
      </c>
      <c r="M81" s="85">
        <f t="shared" si="130"/>
        <v>52.420542883511288</v>
      </c>
      <c r="N81" s="85">
        <f t="shared" si="130"/>
        <v>57.546733326899975</v>
      </c>
      <c r="O81" s="85">
        <f t="shared" si="130"/>
        <v>92.840796560082779</v>
      </c>
      <c r="P81" s="85">
        <f t="shared" si="130"/>
        <v>107.68897765487104</v>
      </c>
      <c r="Q81" s="85">
        <f t="shared" si="130"/>
        <v>58.104958075100257</v>
      </c>
      <c r="R81" s="86">
        <f>M81</f>
        <v>52.420542883511288</v>
      </c>
      <c r="S81" s="86">
        <f t="shared" si="124"/>
        <v>57.546733326899975</v>
      </c>
      <c r="T81" s="86">
        <f t="shared" si="124"/>
        <v>92.840796560082779</v>
      </c>
      <c r="U81" s="86">
        <f>(U71/U74)*U78</f>
        <v>102.44845747644816</v>
      </c>
      <c r="V81" s="86">
        <f t="shared" si="128"/>
        <v>102.44845747644816</v>
      </c>
      <c r="W81" s="86">
        <f t="shared" si="128"/>
        <v>102.44845747644816</v>
      </c>
      <c r="X81" s="86">
        <f t="shared" si="128"/>
        <v>102.44845747644816</v>
      </c>
      <c r="Y81" s="86">
        <f t="shared" si="128"/>
        <v>102.44845747644816</v>
      </c>
      <c r="Z81" s="86">
        <f t="shared" si="128"/>
        <v>102.44845747644816</v>
      </c>
      <c r="AA81" s="86">
        <f t="shared" si="128"/>
        <v>102.44845747644816</v>
      </c>
      <c r="AB81" s="86">
        <f t="shared" si="128"/>
        <v>102.44845747644816</v>
      </c>
      <c r="AC81" s="86">
        <f t="shared" si="128"/>
        <v>102.44845747644816</v>
      </c>
      <c r="AD81" s="86">
        <f t="shared" si="128"/>
        <v>102.44845747644816</v>
      </c>
    </row>
    <row r="82" spans="1:30">
      <c r="B82" s="12"/>
    </row>
    <row r="83" spans="1:30">
      <c r="B83" s="40" t="s">
        <v>135</v>
      </c>
      <c r="C83" s="82" t="s">
        <v>16</v>
      </c>
      <c r="D83" s="23">
        <f>D69+D70-D71</f>
        <v>117.85199999999998</v>
      </c>
      <c r="E83" s="23">
        <f t="shared" ref="E83:Q83" si="131">E69+E70-E71</f>
        <v>167.28199999999998</v>
      </c>
      <c r="F83" s="23">
        <f t="shared" si="131"/>
        <v>172.99899999999997</v>
      </c>
      <c r="G83" s="23">
        <f t="shared" si="131"/>
        <v>200.17100000000005</v>
      </c>
      <c r="H83" s="23">
        <f t="shared" si="131"/>
        <v>301.32199999999995</v>
      </c>
      <c r="I83" s="23">
        <f t="shared" si="131"/>
        <v>327.13099999999991</v>
      </c>
      <c r="J83" s="23">
        <f t="shared" si="131"/>
        <v>308.22199999999992</v>
      </c>
      <c r="K83" s="23">
        <f t="shared" si="131"/>
        <v>308.22199999999992</v>
      </c>
      <c r="L83" s="23">
        <f t="shared" si="131"/>
        <v>488.17700000000008</v>
      </c>
      <c r="M83" s="23">
        <f t="shared" si="131"/>
        <v>777.85399999999993</v>
      </c>
      <c r="N83" s="23">
        <f t="shared" si="131"/>
        <v>834.03100000000018</v>
      </c>
      <c r="O83" s="23">
        <f t="shared" si="131"/>
        <v>754.9849999999999</v>
      </c>
      <c r="P83" s="23">
        <f t="shared" si="131"/>
        <v>754.9849999999999</v>
      </c>
      <c r="Q83" s="23">
        <f t="shared" si="131"/>
        <v>1251.616</v>
      </c>
      <c r="R83" s="23">
        <f>R69+R70-R71</f>
        <v>1114.4358172089592</v>
      </c>
      <c r="S83" s="23">
        <f t="shared" ref="S83:AD83" si="132">S69+S70-S71</f>
        <v>1022.6081974774074</v>
      </c>
      <c r="T83" s="23">
        <f t="shared" si="132"/>
        <v>867.87260010849127</v>
      </c>
      <c r="U83" s="23">
        <f t="shared" si="132"/>
        <v>867.87260010849127</v>
      </c>
      <c r="V83" s="23">
        <f t="shared" si="132"/>
        <v>1007.8638046488084</v>
      </c>
      <c r="W83" s="23">
        <f t="shared" si="132"/>
        <v>1166.1418402464553</v>
      </c>
      <c r="X83" s="23">
        <f t="shared" si="132"/>
        <v>1286.1744447926262</v>
      </c>
      <c r="Y83" s="23">
        <f t="shared" si="132"/>
        <v>1417.4626343876962</v>
      </c>
      <c r="Z83" s="23">
        <f t="shared" si="132"/>
        <v>1561.0004430754977</v>
      </c>
      <c r="AA83" s="23">
        <f t="shared" si="132"/>
        <v>1717.866253914015</v>
      </c>
      <c r="AB83" s="23">
        <f t="shared" si="132"/>
        <v>1889.2297602922322</v>
      </c>
      <c r="AC83" s="23">
        <f t="shared" si="132"/>
        <v>2076.3594903308544</v>
      </c>
      <c r="AD83" s="23">
        <f t="shared" si="132"/>
        <v>2280.6309392327198</v>
      </c>
    </row>
    <row r="84" spans="1:30">
      <c r="B84" s="43" t="s">
        <v>136</v>
      </c>
      <c r="C84" s="82" t="s">
        <v>16</v>
      </c>
      <c r="D84" s="23"/>
      <c r="E84" s="23">
        <f>E83-D83</f>
        <v>49.430000000000007</v>
      </c>
      <c r="F84" s="23">
        <f t="shared" ref="F84" si="133">F83-E83</f>
        <v>5.7169999999999845</v>
      </c>
      <c r="G84" s="23">
        <v>0</v>
      </c>
      <c r="H84" s="23">
        <v>0</v>
      </c>
      <c r="I84" s="23">
        <v>0</v>
      </c>
      <c r="J84" s="23">
        <v>0</v>
      </c>
      <c r="K84" s="23">
        <f>K83-F83</f>
        <v>135.22299999999996</v>
      </c>
      <c r="L84" s="23">
        <v>0</v>
      </c>
      <c r="M84" s="23">
        <v>0</v>
      </c>
      <c r="N84" s="23">
        <v>0</v>
      </c>
      <c r="O84" s="23">
        <v>0</v>
      </c>
      <c r="P84" s="23">
        <f>P83-K83</f>
        <v>446.76299999999998</v>
      </c>
      <c r="Q84" s="23">
        <v>-352</v>
      </c>
      <c r="R84" s="23">
        <f t="shared" ref="R84:T84" si="134">R83-Q83</f>
        <v>-137.18018279104081</v>
      </c>
      <c r="S84" s="23">
        <f t="shared" si="134"/>
        <v>-91.827619731551749</v>
      </c>
      <c r="T84" s="23">
        <f t="shared" si="134"/>
        <v>-154.73559736891616</v>
      </c>
      <c r="U84" s="23">
        <f>U83-P83</f>
        <v>112.88760010849137</v>
      </c>
      <c r="V84" s="23">
        <f>V83-U83</f>
        <v>139.99120454031709</v>
      </c>
      <c r="W84" s="23">
        <f t="shared" ref="W84:AD84" si="135">W83-V83</f>
        <v>158.27803559764698</v>
      </c>
      <c r="X84" s="23">
        <f t="shared" si="135"/>
        <v>120.03260454617089</v>
      </c>
      <c r="Y84" s="23">
        <f t="shared" si="135"/>
        <v>131.28818959506998</v>
      </c>
      <c r="Z84" s="23">
        <f t="shared" si="135"/>
        <v>143.53780868780154</v>
      </c>
      <c r="AA84" s="23">
        <f t="shared" si="135"/>
        <v>156.86581083851729</v>
      </c>
      <c r="AB84" s="23">
        <f t="shared" si="135"/>
        <v>171.36350637821715</v>
      </c>
      <c r="AC84" s="23">
        <f t="shared" si="135"/>
        <v>187.12973003862226</v>
      </c>
      <c r="AD84" s="23">
        <f t="shared" si="135"/>
        <v>204.27144890186537</v>
      </c>
    </row>
    <row r="85" spans="1:30">
      <c r="B85" s="87" t="s">
        <v>137</v>
      </c>
      <c r="C85" s="82"/>
      <c r="D85" s="23"/>
      <c r="E85" s="88">
        <f>E84/IS!E8</f>
        <v>2.9257003509893405E-2</v>
      </c>
      <c r="F85" s="88">
        <f>F84/IS!F8</f>
        <v>1.2610315445375485E-2</v>
      </c>
      <c r="G85" s="88"/>
      <c r="H85" s="88"/>
      <c r="I85" s="88"/>
      <c r="J85" s="88"/>
      <c r="K85" s="88">
        <f>K84/IS!J8</f>
        <v>6.6444217670860783E-2</v>
      </c>
      <c r="L85" s="88"/>
      <c r="M85" s="88"/>
      <c r="N85" s="88"/>
      <c r="O85" s="88"/>
      <c r="P85" s="88">
        <f>P84/IS!T8</f>
        <v>0.10927971172031468</v>
      </c>
      <c r="Q85" s="88"/>
      <c r="R85" s="88"/>
      <c r="S85" s="88"/>
      <c r="T85" s="88"/>
      <c r="U85" s="88">
        <f>U84/IS!Y8</f>
        <v>2.0355137174831894E-2</v>
      </c>
      <c r="V85" s="88">
        <f>V84/IS!Z8</f>
        <v>2.1658989008932705E-2</v>
      </c>
      <c r="W85" s="88">
        <f>W84/IS!AA8</f>
        <v>2.12348194082423E-2</v>
      </c>
      <c r="X85" s="88">
        <f>X84/IS!AB8</f>
        <v>1.4639521066430579E-2</v>
      </c>
      <c r="Y85" s="88">
        <f>Y84/IS!AC8</f>
        <v>1.4566486582246843E-2</v>
      </c>
      <c r="Z85" s="88">
        <f>Z84/IS!AD8</f>
        <v>1.4497176635316971E-2</v>
      </c>
      <c r="AA85" s="88">
        <f>AA84/IS!AE8</f>
        <v>1.4431305738452815E-2</v>
      </c>
      <c r="AB85" s="88">
        <f>AB84/IS!AF8</f>
        <v>1.4368616311367143E-2</v>
      </c>
      <c r="AC85" s="88">
        <f>AC84/IS!AG8</f>
        <v>1.4308875401746867E-2</v>
      </c>
      <c r="AD85" s="88">
        <f>AD84/IS!AH8</f>
        <v>1.4251871855366903E-2</v>
      </c>
    </row>
    <row r="87" spans="1:30">
      <c r="A87" s="7"/>
      <c r="B87" s="30" t="s">
        <v>138</v>
      </c>
      <c r="C87" s="7"/>
      <c r="D87" s="6">
        <v>2018</v>
      </c>
      <c r="E87" s="6">
        <v>2019</v>
      </c>
      <c r="F87" s="6">
        <v>2020</v>
      </c>
      <c r="G87" s="8" t="s">
        <v>4</v>
      </c>
      <c r="H87" s="8" t="s">
        <v>5</v>
      </c>
      <c r="I87" s="8" t="s">
        <v>6</v>
      </c>
      <c r="J87" s="8" t="s">
        <v>7</v>
      </c>
      <c r="K87" s="6">
        <v>2021</v>
      </c>
      <c r="L87" s="8" t="s">
        <v>8</v>
      </c>
      <c r="M87" s="8" t="s">
        <v>9</v>
      </c>
      <c r="N87" s="8" t="s">
        <v>10</v>
      </c>
      <c r="O87" s="8" t="s">
        <v>11</v>
      </c>
      <c r="P87" s="6">
        <v>2022</v>
      </c>
      <c r="Q87" s="64" t="s">
        <v>100</v>
      </c>
      <c r="R87" s="63" t="s">
        <v>101</v>
      </c>
      <c r="S87" s="63" t="s">
        <v>102</v>
      </c>
      <c r="T87" s="63" t="s">
        <v>103</v>
      </c>
      <c r="U87" s="37">
        <v>2023</v>
      </c>
      <c r="V87" s="37">
        <v>2024</v>
      </c>
      <c r="W87" s="37">
        <v>2025</v>
      </c>
      <c r="X87" s="37">
        <v>2026</v>
      </c>
      <c r="Y87" s="37">
        <v>2027</v>
      </c>
      <c r="Z87" s="37">
        <v>2028</v>
      </c>
      <c r="AA87" s="37">
        <v>2029</v>
      </c>
      <c r="AB87" s="37">
        <v>2030</v>
      </c>
      <c r="AC87" s="37">
        <v>2031</v>
      </c>
      <c r="AD87" s="37">
        <v>2032</v>
      </c>
    </row>
    <row r="88" spans="1:30">
      <c r="B88" s="43" t="s">
        <v>18</v>
      </c>
      <c r="C88" s="82" t="s">
        <v>16</v>
      </c>
      <c r="G88" s="23">
        <f>IS!K8</f>
        <v>614.55200000000002</v>
      </c>
      <c r="H88" s="23">
        <f>IS!L8</f>
        <v>640.21500000000003</v>
      </c>
      <c r="I88" s="23">
        <f>IS!M8</f>
        <v>679.42000000000007</v>
      </c>
      <c r="J88" s="23">
        <f>IS!N8</f>
        <v>767.87899999999991</v>
      </c>
      <c r="K88" s="23">
        <f>IS!O8</f>
        <v>2702.0659999999998</v>
      </c>
      <c r="L88" s="23">
        <f>IS!P8</f>
        <v>807.952</v>
      </c>
      <c r="M88" s="23">
        <f>IS!Q8</f>
        <v>899.9</v>
      </c>
      <c r="N88" s="23">
        <f>IS!R8</f>
        <v>1163.8720000000001</v>
      </c>
      <c r="O88" s="23">
        <f>IS!S8</f>
        <v>1216.528</v>
      </c>
      <c r="P88" s="23">
        <f>IS!T8</f>
        <v>4088.2520000000004</v>
      </c>
      <c r="Q88" s="23">
        <f>IS!U8</f>
        <v>1293.5</v>
      </c>
      <c r="R88" s="23">
        <f>IS!V8</f>
        <v>1323.2108244680076</v>
      </c>
      <c r="S88" s="23">
        <f>IS!W8</f>
        <v>1428.5296414633349</v>
      </c>
      <c r="T88" s="23">
        <f>IS!X8</f>
        <v>1500.6617374726836</v>
      </c>
      <c r="U88" s="23">
        <f>IS!Y8</f>
        <v>5545.9022034040245</v>
      </c>
      <c r="V88" s="23">
        <f>IS!Z8</f>
        <v>6463.4228533280675</v>
      </c>
      <c r="W88" s="23">
        <f>IS!AA8</f>
        <v>7453.7029279472627</v>
      </c>
      <c r="X88" s="23">
        <f>IS!AB8</f>
        <v>8199.2166274765532</v>
      </c>
      <c r="Y88" s="23">
        <f>IS!AC8</f>
        <v>9013.0306202375341</v>
      </c>
      <c r="Z88" s="23">
        <f>IS!AD8</f>
        <v>9901.0871081011137</v>
      </c>
      <c r="AA88" s="23">
        <f>IS!AE8</f>
        <v>10869.827975478463</v>
      </c>
      <c r="AB88" s="23">
        <f>IS!AF8</f>
        <v>11926.235808986696</v>
      </c>
      <c r="AC88" s="23">
        <f>IS!AG8</f>
        <v>13077.878224851755</v>
      </c>
      <c r="AD88" s="23">
        <f>IS!AH8</f>
        <v>14332.955767136074</v>
      </c>
    </row>
    <row r="89" spans="1:30">
      <c r="B89" s="43" t="s">
        <v>130</v>
      </c>
      <c r="C89" s="82" t="s">
        <v>16</v>
      </c>
      <c r="G89" s="23">
        <f>-IS!K9</f>
        <v>419.78228619999999</v>
      </c>
      <c r="H89" s="23">
        <f>-IS!L9</f>
        <v>450.70571380000001</v>
      </c>
      <c r="I89" s="23">
        <f>-IS!M9</f>
        <v>460.52</v>
      </c>
      <c r="J89" s="23">
        <f>-IS!N9</f>
        <v>502.267</v>
      </c>
      <c r="K89" s="23">
        <f>-IS!O9</f>
        <v>1833.2750000000001</v>
      </c>
      <c r="L89" s="23">
        <f>-IS!P9</f>
        <v>536.62099999999998</v>
      </c>
      <c r="M89" s="23">
        <f>-IS!Q9</f>
        <v>578.61400000000003</v>
      </c>
      <c r="N89" s="23">
        <f>-IS!R9</f>
        <v>756.47299999999996</v>
      </c>
      <c r="O89" s="23">
        <f>-IS!S9</f>
        <v>764.43700000000001</v>
      </c>
      <c r="P89" s="23">
        <f>-IS!T9</f>
        <v>2636.145</v>
      </c>
      <c r="Q89" s="23">
        <f>-IS!U9</f>
        <v>822.9</v>
      </c>
      <c r="R89" s="23">
        <f>-IS!V9</f>
        <v>925.31875411112685</v>
      </c>
      <c r="S89" s="23">
        <f>-IS!W9</f>
        <v>930.80713316499123</v>
      </c>
      <c r="T89" s="23">
        <f>-IS!X9</f>
        <v>1020.6286243692473</v>
      </c>
      <c r="U89" s="23">
        <f>-IS!Y9</f>
        <v>3699.6545116453653</v>
      </c>
      <c r="V89" s="23">
        <f>-IS!Z9</f>
        <v>4327.6587466098672</v>
      </c>
      <c r="W89" s="23">
        <f>-IS!AA9</f>
        <v>4973.5871894853572</v>
      </c>
      <c r="X89" s="23">
        <f>-IS!AB9</f>
        <v>5455.976268168225</v>
      </c>
      <c r="Y89" s="23">
        <f>-IS!AC9</f>
        <v>5981.4114135097025</v>
      </c>
      <c r="Z89" s="23">
        <f>-IS!AD9</f>
        <v>6553.5720894481474</v>
      </c>
      <c r="AA89" s="23">
        <f>-IS!AE9</f>
        <v>7176.4437952419776</v>
      </c>
      <c r="AB89" s="23">
        <f>-IS!AF9</f>
        <v>7854.3430242857721</v>
      </c>
      <c r="AC89" s="23">
        <f>-IS!AG9</f>
        <v>8591.9442278397873</v>
      </c>
      <c r="AD89" s="23">
        <f>-IS!AH9</f>
        <v>9394.3089427836985</v>
      </c>
    </row>
    <row r="91" spans="1:30">
      <c r="B91" s="29" t="s">
        <v>73</v>
      </c>
      <c r="C91" s="82" t="s">
        <v>16</v>
      </c>
      <c r="D91" s="23">
        <f t="shared" ref="D91:Q91" si="136">D10</f>
        <v>57.615000000000002</v>
      </c>
      <c r="E91" s="23">
        <f t="shared" si="136"/>
        <v>75.573999999999998</v>
      </c>
      <c r="F91" s="23">
        <f t="shared" si="136"/>
        <v>79.5</v>
      </c>
      <c r="G91" s="23">
        <f t="shared" si="136"/>
        <v>82.120999999999995</v>
      </c>
      <c r="H91" s="23">
        <f t="shared" si="136"/>
        <v>87.215000000000003</v>
      </c>
      <c r="I91" s="23">
        <f t="shared" si="136"/>
        <v>100.97799999999999</v>
      </c>
      <c r="J91" s="23">
        <f t="shared" si="136"/>
        <v>96.631</v>
      </c>
      <c r="K91" s="23">
        <f t="shared" si="136"/>
        <v>96.631</v>
      </c>
      <c r="L91" s="23">
        <f t="shared" si="136"/>
        <v>110.5</v>
      </c>
      <c r="M91" s="23">
        <f t="shared" si="136"/>
        <v>117.837</v>
      </c>
      <c r="N91" s="23">
        <f t="shared" si="136"/>
        <v>130.41300000000001</v>
      </c>
      <c r="O91" s="23">
        <f t="shared" si="136"/>
        <v>142.602</v>
      </c>
      <c r="P91" s="23">
        <f t="shared" si="136"/>
        <v>142.602</v>
      </c>
      <c r="Q91" s="23">
        <f t="shared" si="136"/>
        <v>167.148</v>
      </c>
      <c r="R91" s="23">
        <f>R92*R$88</f>
        <v>173.26724516372553</v>
      </c>
      <c r="S91" s="23">
        <f t="shared" ref="S91:T91" si="137">S92*S$88</f>
        <v>160.06814850100176</v>
      </c>
      <c r="T91" s="23">
        <f t="shared" si="137"/>
        <v>175.90829400316278</v>
      </c>
      <c r="U91" s="23">
        <f>T91</f>
        <v>175.90829400316278</v>
      </c>
      <c r="V91" s="23">
        <f>V92*V$88</f>
        <v>205.01077116941104</v>
      </c>
      <c r="W91" s="23">
        <f t="shared" ref="W91:AD91" si="138">W92*W88</f>
        <v>236.42107595348494</v>
      </c>
      <c r="X91" s="23">
        <f t="shared" si="138"/>
        <v>260.06773221072837</v>
      </c>
      <c r="Y91" s="23">
        <f t="shared" si="138"/>
        <v>285.88077864609795</v>
      </c>
      <c r="Z91" s="23">
        <f t="shared" si="138"/>
        <v>314.04869362711554</v>
      </c>
      <c r="AA91" s="23">
        <f t="shared" si="138"/>
        <v>344.77580475556243</v>
      </c>
      <c r="AB91" s="23">
        <f t="shared" si="138"/>
        <v>378.28358995414544</v>
      </c>
      <c r="AC91" s="23">
        <f t="shared" si="138"/>
        <v>414.81208346998125</v>
      </c>
      <c r="AD91" s="23">
        <f t="shared" si="138"/>
        <v>454.62139513966866</v>
      </c>
    </row>
    <row r="92" spans="1:30">
      <c r="A92" s="78"/>
      <c r="B92" s="89" t="s">
        <v>139</v>
      </c>
      <c r="C92" s="90" t="s">
        <v>128</v>
      </c>
      <c r="D92" s="91">
        <f>D91/IS!$D$8</f>
        <v>5.4827775218968519E-2</v>
      </c>
      <c r="E92" s="91">
        <f>E91/IS!$E$8</f>
        <v>4.4731312629105478E-2</v>
      </c>
      <c r="F92" s="91">
        <f>F91/IS!$J$8</f>
        <v>3.9063734015910269E-2</v>
      </c>
      <c r="G92" s="91">
        <f>G91/IS!K$8</f>
        <v>0.13362742290318799</v>
      </c>
      <c r="H92" s="91">
        <f>H91/IS!L$8</f>
        <v>0.13622767351592824</v>
      </c>
      <c r="I92" s="91">
        <f>I91/IS!M$8</f>
        <v>0.14862382620470399</v>
      </c>
      <c r="J92" s="91">
        <f>J91/IS!N$8</f>
        <v>0.1258414411645585</v>
      </c>
      <c r="K92" s="91">
        <f>K91/IS!O$8</f>
        <v>3.5761894787173967E-2</v>
      </c>
      <c r="L92" s="91">
        <f>L91/IS!P$8</f>
        <v>0.13676555042873834</v>
      </c>
      <c r="M92" s="91">
        <f>M91/IS!Q$8</f>
        <v>0.13094454939437716</v>
      </c>
      <c r="N92" s="91">
        <f>N91/IS!R$8</f>
        <v>0.11205098155123588</v>
      </c>
      <c r="O92" s="91">
        <f>O91/IS!S$8</f>
        <v>0.11722048321123722</v>
      </c>
      <c r="P92" s="91">
        <f>P91/IS!T$8</f>
        <v>3.4880922213209944E-2</v>
      </c>
      <c r="Q92" s="91">
        <f>Q91/IS!U$8</f>
        <v>0.12922149207576342</v>
      </c>
      <c r="R92" s="92">
        <f>M92</f>
        <v>0.13094454939437716</v>
      </c>
      <c r="S92" s="92">
        <f t="shared" ref="S92:T92" si="139">N92</f>
        <v>0.11205098155123588</v>
      </c>
      <c r="T92" s="92">
        <f t="shared" si="139"/>
        <v>0.11722048321123722</v>
      </c>
      <c r="U92" s="248">
        <f>U91/U$88</f>
        <v>3.1718607280018726E-2</v>
      </c>
      <c r="V92" s="92">
        <f>U92</f>
        <v>3.1718607280018726E-2</v>
      </c>
      <c r="W92" s="92">
        <f t="shared" ref="W92:AD92" si="140">V92</f>
        <v>3.1718607280018726E-2</v>
      </c>
      <c r="X92" s="92">
        <f t="shared" si="140"/>
        <v>3.1718607280018726E-2</v>
      </c>
      <c r="Y92" s="92">
        <f t="shared" si="140"/>
        <v>3.1718607280018726E-2</v>
      </c>
      <c r="Z92" s="92">
        <f t="shared" si="140"/>
        <v>3.1718607280018726E-2</v>
      </c>
      <c r="AA92" s="92">
        <f t="shared" si="140"/>
        <v>3.1718607280018726E-2</v>
      </c>
      <c r="AB92" s="92">
        <f t="shared" si="140"/>
        <v>3.1718607280018726E-2</v>
      </c>
      <c r="AC92" s="92">
        <f t="shared" si="140"/>
        <v>3.1718607280018726E-2</v>
      </c>
      <c r="AD92" s="92">
        <f t="shared" si="140"/>
        <v>3.1718607280018726E-2</v>
      </c>
    </row>
    <row r="93" spans="1:30">
      <c r="B93" s="29"/>
      <c r="U93" s="249"/>
    </row>
    <row r="94" spans="1:30">
      <c r="B94" s="29" t="s">
        <v>140</v>
      </c>
      <c r="C94" s="82" t="s">
        <v>16</v>
      </c>
      <c r="D94" s="23">
        <f t="shared" ref="D94:Q94" si="141">D11</f>
        <v>26.117000000000001</v>
      </c>
      <c r="E94" s="23">
        <f t="shared" si="141"/>
        <v>25.428999999999998</v>
      </c>
      <c r="F94" s="23">
        <f t="shared" si="141"/>
        <v>24.5</v>
      </c>
      <c r="G94" s="23">
        <f t="shared" si="141"/>
        <v>19.983000000000001</v>
      </c>
      <c r="H94" s="23">
        <f t="shared" si="141"/>
        <v>28.914999999999999</v>
      </c>
      <c r="I94" s="23">
        <f t="shared" si="141"/>
        <v>64.040999999999997</v>
      </c>
      <c r="J94" s="23">
        <f t="shared" si="141"/>
        <v>24.285</v>
      </c>
      <c r="K94" s="23">
        <f t="shared" si="141"/>
        <v>24.285</v>
      </c>
      <c r="L94" s="23">
        <f t="shared" si="141"/>
        <v>50.575000000000003</v>
      </c>
      <c r="M94" s="23">
        <f t="shared" si="141"/>
        <v>47.283999999999999</v>
      </c>
      <c r="N94" s="23">
        <f t="shared" si="141"/>
        <v>53.249000000000002</v>
      </c>
      <c r="O94" s="23">
        <f t="shared" si="141"/>
        <v>47.874000000000002</v>
      </c>
      <c r="P94" s="23">
        <f t="shared" si="141"/>
        <v>47.874000000000002</v>
      </c>
      <c r="Q94" s="23">
        <f t="shared" si="141"/>
        <v>58.308999999999997</v>
      </c>
      <c r="R94" s="23">
        <f>R95*R$88</f>
        <v>69.526281391427119</v>
      </c>
      <c r="S94" s="23">
        <f t="shared" ref="S94" si="142">S95*S$88</f>
        <v>65.357509140421897</v>
      </c>
      <c r="T94" s="23">
        <f t="shared" ref="T94" si="143">T95*T$88</f>
        <v>59.055508808483864</v>
      </c>
      <c r="U94" s="23">
        <f>T94</f>
        <v>59.055508808483864</v>
      </c>
      <c r="V94" s="23">
        <f>V95*V$88</f>
        <v>68.82572235287293</v>
      </c>
      <c r="W94" s="23">
        <f t="shared" ref="W94:AD94" si="144">W95*W$88</f>
        <v>79.370714226989378</v>
      </c>
      <c r="X94" s="23">
        <f t="shared" si="144"/>
        <v>87.309312715504774</v>
      </c>
      <c r="Y94" s="23">
        <f t="shared" si="144"/>
        <v>95.975206497126933</v>
      </c>
      <c r="Z94" s="23">
        <f t="shared" si="144"/>
        <v>105.43167107547252</v>
      </c>
      <c r="AA94" s="23">
        <f t="shared" si="144"/>
        <v>115.74730282091274</v>
      </c>
      <c r="AB94" s="23">
        <f t="shared" si="144"/>
        <v>126.99645576825543</v>
      </c>
      <c r="AC94" s="23">
        <f t="shared" si="144"/>
        <v>139.2597136368486</v>
      </c>
      <c r="AD94" s="23">
        <f t="shared" si="144"/>
        <v>152.62439987459152</v>
      </c>
    </row>
    <row r="95" spans="1:30">
      <c r="B95" s="89" t="s">
        <v>139</v>
      </c>
      <c r="C95" s="90" t="s">
        <v>128</v>
      </c>
      <c r="D95" s="91">
        <f>D94/IS!$D$8</f>
        <v>2.4853545177363549E-2</v>
      </c>
      <c r="E95" s="91">
        <f>E94/IS!$E$8</f>
        <v>1.5051109493285034E-2</v>
      </c>
      <c r="F95" s="91">
        <f>F94/IS!$J$8</f>
        <v>1.2038509225028951E-2</v>
      </c>
      <c r="G95" s="91">
        <f>G94/IS!K$8</f>
        <v>3.2516369648133925E-2</v>
      </c>
      <c r="H95" s="91">
        <f>H94/IS!L$8</f>
        <v>4.516451504572682E-2</v>
      </c>
      <c r="I95" s="91">
        <f>I94/IS!M$8</f>
        <v>9.4258337994171479E-2</v>
      </c>
      <c r="J95" s="91">
        <f>J94/IS!N$8</f>
        <v>3.1626076504240909E-2</v>
      </c>
      <c r="K95" s="91">
        <f>K94/IS!O$8</f>
        <v>8.9875672911024392E-3</v>
      </c>
      <c r="L95" s="91">
        <f>L94/IS!P$8</f>
        <v>6.259654038853793E-2</v>
      </c>
      <c r="M95" s="91">
        <f>M94/IS!Q$8</f>
        <v>5.2543615957328593E-2</v>
      </c>
      <c r="N95" s="91">
        <f>N94/IS!R$8</f>
        <v>4.5751594677077893E-2</v>
      </c>
      <c r="O95" s="91">
        <f>O94/IS!S$8</f>
        <v>3.9352978312048717E-2</v>
      </c>
      <c r="P95" s="91">
        <f>P94/IS!T$8</f>
        <v>1.1710139198855647E-2</v>
      </c>
      <c r="Q95" s="91">
        <f>Q94/IS!U$8</f>
        <v>4.5078469269424042E-2</v>
      </c>
      <c r="R95" s="92">
        <f>M95</f>
        <v>5.2543615957328593E-2</v>
      </c>
      <c r="S95" s="92">
        <f t="shared" ref="S95" si="145">N95</f>
        <v>4.5751594677077893E-2</v>
      </c>
      <c r="T95" s="92">
        <f t="shared" ref="T95" si="146">O95</f>
        <v>3.9352978312048717E-2</v>
      </c>
      <c r="U95" s="248">
        <f>U94/U$88</f>
        <v>1.0648494445545061E-2</v>
      </c>
      <c r="V95" s="92">
        <f>U95</f>
        <v>1.0648494445545061E-2</v>
      </c>
      <c r="W95" s="92">
        <f t="shared" ref="W95:AD95" si="147">V95</f>
        <v>1.0648494445545061E-2</v>
      </c>
      <c r="X95" s="92">
        <f t="shared" si="147"/>
        <v>1.0648494445545061E-2</v>
      </c>
      <c r="Y95" s="92">
        <f t="shared" si="147"/>
        <v>1.0648494445545061E-2</v>
      </c>
      <c r="Z95" s="92">
        <f t="shared" si="147"/>
        <v>1.0648494445545061E-2</v>
      </c>
      <c r="AA95" s="92">
        <f t="shared" si="147"/>
        <v>1.0648494445545061E-2</v>
      </c>
      <c r="AB95" s="92">
        <f t="shared" si="147"/>
        <v>1.0648494445545061E-2</v>
      </c>
      <c r="AC95" s="92">
        <f t="shared" si="147"/>
        <v>1.0648494445545061E-2</v>
      </c>
      <c r="AD95" s="92">
        <f t="shared" si="147"/>
        <v>1.0648494445545061E-2</v>
      </c>
    </row>
    <row r="96" spans="1:30">
      <c r="B96" s="29"/>
      <c r="U96" s="249"/>
    </row>
    <row r="97" spans="2:30">
      <c r="B97" s="29" t="s">
        <v>47</v>
      </c>
      <c r="C97" s="82" t="s">
        <v>16</v>
      </c>
      <c r="D97" s="23">
        <f t="shared" ref="D97:Q97" si="148">D13</f>
        <v>22.4</v>
      </c>
      <c r="E97" s="23">
        <f t="shared" si="148"/>
        <v>30.856000000000002</v>
      </c>
      <c r="F97" s="23">
        <f t="shared" si="148"/>
        <v>66.3</v>
      </c>
      <c r="G97" s="23">
        <f t="shared" si="148"/>
        <v>68.69</v>
      </c>
      <c r="H97" s="23">
        <f t="shared" si="148"/>
        <v>103.58</v>
      </c>
      <c r="I97" s="23">
        <f t="shared" si="148"/>
        <v>118.86199999999999</v>
      </c>
      <c r="J97" s="23">
        <f t="shared" si="148"/>
        <v>113.25</v>
      </c>
      <c r="K97" s="23">
        <f t="shared" si="148"/>
        <v>113.25</v>
      </c>
      <c r="L97" s="23">
        <f t="shared" si="148"/>
        <v>93.703000000000003</v>
      </c>
      <c r="M97" s="23">
        <f t="shared" si="148"/>
        <v>87.87299999999999</v>
      </c>
      <c r="N97" s="23">
        <f t="shared" si="148"/>
        <v>100.33799999999999</v>
      </c>
      <c r="O97" s="23">
        <f t="shared" si="148"/>
        <v>91.498000000000005</v>
      </c>
      <c r="P97" s="23">
        <f t="shared" si="148"/>
        <v>91.498000000000005</v>
      </c>
      <c r="Q97" s="23">
        <f t="shared" si="148"/>
        <v>91.361000000000004</v>
      </c>
      <c r="R97" s="23">
        <f>R98*R$88</f>
        <v>129.20825067060474</v>
      </c>
      <c r="S97" s="23">
        <f t="shared" ref="S97" si="149">S98*S$88</f>
        <v>123.15427054276422</v>
      </c>
      <c r="T97" s="23">
        <f t="shared" ref="T97" si="150">T98*T$88</f>
        <v>112.86838252409778</v>
      </c>
      <c r="U97" s="23">
        <f>T97</f>
        <v>112.86838252409778</v>
      </c>
      <c r="V97" s="23">
        <f>V98*V$88</f>
        <v>131.54146183404706</v>
      </c>
      <c r="W97" s="23">
        <f t="shared" ref="W97:AD97" si="151">W98*W$88</f>
        <v>151.69531708946559</v>
      </c>
      <c r="X97" s="23">
        <f t="shared" si="151"/>
        <v>166.86776736523493</v>
      </c>
      <c r="Y97" s="23">
        <f t="shared" si="151"/>
        <v>183.43024280557549</v>
      </c>
      <c r="Z97" s="23">
        <f t="shared" si="151"/>
        <v>201.50367715385357</v>
      </c>
      <c r="AA97" s="23">
        <f t="shared" si="151"/>
        <v>221.21917352859327</v>
      </c>
      <c r="AB97" s="23">
        <f t="shared" si="151"/>
        <v>242.71883924225753</v>
      </c>
      <c r="AC97" s="23">
        <f t="shared" si="151"/>
        <v>266.15668793801177</v>
      </c>
      <c r="AD97" s="23">
        <f t="shared" si="151"/>
        <v>291.69961439874209</v>
      </c>
    </row>
    <row r="98" spans="2:30">
      <c r="B98" s="89" t="s">
        <v>139</v>
      </c>
      <c r="C98" s="90" t="s">
        <v>128</v>
      </c>
      <c r="D98" s="91">
        <f>D97/IS!$D$8</f>
        <v>2.1316361449360319E-2</v>
      </c>
      <c r="E98" s="91">
        <f>E97/IS!$E$8</f>
        <v>1.8263283437209607E-2</v>
      </c>
      <c r="F98" s="91">
        <f>F97/IS!$J$8</f>
        <v>3.2577680066098749E-2</v>
      </c>
      <c r="G98" s="91">
        <f>G97/IS!K$8</f>
        <v>0.11177247816295446</v>
      </c>
      <c r="H98" s="91">
        <f>H97/IS!L$8</f>
        <v>0.16178939887381583</v>
      </c>
      <c r="I98" s="91">
        <f>I97/IS!M$8</f>
        <v>0.17494627770745633</v>
      </c>
      <c r="J98" s="91">
        <f>J97/IS!N$8</f>
        <v>0.14748417393886279</v>
      </c>
      <c r="K98" s="91">
        <f>K97/IS!O$8</f>
        <v>4.1912373717000254E-2</v>
      </c>
      <c r="L98" s="91">
        <f>L97/IS!P$8</f>
        <v>0.11597594906628117</v>
      </c>
      <c r="M98" s="91">
        <f>M97/IS!Q$8</f>
        <v>9.7647516390710065E-2</v>
      </c>
      <c r="N98" s="91">
        <f>N97/IS!R$8</f>
        <v>8.6210511121497885E-2</v>
      </c>
      <c r="O98" s="91">
        <f>O97/IS!S$8</f>
        <v>7.5212407770310269E-2</v>
      </c>
      <c r="P98" s="91">
        <f>P97/IS!T$8</f>
        <v>2.2380714300390483E-2</v>
      </c>
      <c r="Q98" s="91">
        <f>Q97/IS!U$8</f>
        <v>7.0630846540394282E-2</v>
      </c>
      <c r="R98" s="92">
        <f>M98</f>
        <v>9.7647516390710065E-2</v>
      </c>
      <c r="S98" s="92">
        <f t="shared" ref="S98" si="152">N98</f>
        <v>8.6210511121497885E-2</v>
      </c>
      <c r="T98" s="92">
        <f t="shared" ref="T98" si="153">O98</f>
        <v>7.5212407770310269E-2</v>
      </c>
      <c r="U98" s="248">
        <f>U97/U$88</f>
        <v>2.0351671988521579E-2</v>
      </c>
      <c r="V98" s="92">
        <f>U98</f>
        <v>2.0351671988521579E-2</v>
      </c>
      <c r="W98" s="92">
        <f t="shared" ref="W98:AD98" si="154">V98</f>
        <v>2.0351671988521579E-2</v>
      </c>
      <c r="X98" s="92">
        <f t="shared" si="154"/>
        <v>2.0351671988521579E-2</v>
      </c>
      <c r="Y98" s="92">
        <f t="shared" si="154"/>
        <v>2.0351671988521579E-2</v>
      </c>
      <c r="Z98" s="92">
        <f t="shared" si="154"/>
        <v>2.0351671988521579E-2</v>
      </c>
      <c r="AA98" s="92">
        <f t="shared" si="154"/>
        <v>2.0351671988521579E-2</v>
      </c>
      <c r="AB98" s="92">
        <f t="shared" si="154"/>
        <v>2.0351671988521579E-2</v>
      </c>
      <c r="AC98" s="92">
        <f t="shared" si="154"/>
        <v>2.0351671988521579E-2</v>
      </c>
      <c r="AD98" s="92">
        <f t="shared" si="154"/>
        <v>2.0351671988521579E-2</v>
      </c>
    </row>
    <row r="99" spans="2:30">
      <c r="B99" s="29"/>
      <c r="U99" s="249"/>
    </row>
    <row r="100" spans="2:30">
      <c r="B100" s="29" t="s">
        <v>46</v>
      </c>
      <c r="C100" s="82" t="s">
        <v>16</v>
      </c>
      <c r="D100" s="23">
        <f t="shared" ref="D100:Q100" si="155">D14</f>
        <v>19.989000000000001</v>
      </c>
      <c r="E100" s="23">
        <f t="shared" si="155"/>
        <v>17.925999999999998</v>
      </c>
      <c r="F100" s="23">
        <f t="shared" si="155"/>
        <v>31.4</v>
      </c>
      <c r="G100" s="23">
        <f t="shared" si="155"/>
        <v>36.752000000000002</v>
      </c>
      <c r="H100" s="23">
        <f t="shared" si="155"/>
        <v>40.659999999999997</v>
      </c>
      <c r="I100" s="23">
        <f t="shared" si="155"/>
        <v>43.478999999999999</v>
      </c>
      <c r="J100" s="23">
        <f t="shared" si="155"/>
        <v>33.423999999999999</v>
      </c>
      <c r="K100" s="23">
        <f t="shared" si="155"/>
        <v>33.423999999999999</v>
      </c>
      <c r="L100" s="23">
        <f t="shared" si="155"/>
        <v>29.067</v>
      </c>
      <c r="M100" s="23">
        <f t="shared" si="155"/>
        <v>28.2</v>
      </c>
      <c r="N100" s="23">
        <f t="shared" si="155"/>
        <v>91.781000000000006</v>
      </c>
      <c r="O100" s="23">
        <f t="shared" si="155"/>
        <v>223.428</v>
      </c>
      <c r="P100" s="23">
        <f t="shared" si="155"/>
        <v>223.428</v>
      </c>
      <c r="Q100" s="23">
        <f t="shared" si="155"/>
        <v>250.691</v>
      </c>
      <c r="R100" s="23">
        <f>R101*R$88</f>
        <v>41.465213079228597</v>
      </c>
      <c r="S100" s="23">
        <f t="shared" ref="S100" si="156">S101*S$88</f>
        <v>112.6514591150456</v>
      </c>
      <c r="T100" s="23">
        <f t="shared" ref="T100" si="157">T101*T$88</f>
        <v>275.61211141876453</v>
      </c>
      <c r="U100" s="23">
        <f>T100</f>
        <v>275.61211141876453</v>
      </c>
      <c r="V100" s="23">
        <f>V101*V$88</f>
        <v>321.20970660186521</v>
      </c>
      <c r="W100" s="23">
        <f t="shared" ref="W100:AD100" si="158">W101*W$88</f>
        <v>370.42319292951879</v>
      </c>
      <c r="X100" s="23">
        <f t="shared" si="158"/>
        <v>407.47263903997583</v>
      </c>
      <c r="Y100" s="23">
        <f t="shared" si="158"/>
        <v>447.9163729214203</v>
      </c>
      <c r="Z100" s="23">
        <f t="shared" si="158"/>
        <v>492.04970140474313</v>
      </c>
      <c r="AA100" s="23">
        <f t="shared" si="158"/>
        <v>540.19276381064651</v>
      </c>
      <c r="AB100" s="23">
        <f t="shared" si="158"/>
        <v>592.69257048480961</v>
      </c>
      <c r="AC100" s="23">
        <f t="shared" si="158"/>
        <v>649.9252057161259</v>
      </c>
      <c r="AD100" s="23">
        <f t="shared" si="158"/>
        <v>712.29820811255036</v>
      </c>
    </row>
    <row r="101" spans="2:30">
      <c r="B101" s="89" t="s">
        <v>139</v>
      </c>
      <c r="C101" s="90" t="s">
        <v>128</v>
      </c>
      <c r="D101" s="91">
        <f>D100/IS!$D$8</f>
        <v>1.9021997723717116E-2</v>
      </c>
      <c r="E101" s="91">
        <f>E100/IS!$E$8</f>
        <v>1.0610176915200263E-2</v>
      </c>
      <c r="F101" s="91">
        <f>F100/IS!$J$8</f>
        <v>1.5428946516975879E-2</v>
      </c>
      <c r="G101" s="91">
        <f>G100/IS!K$8</f>
        <v>5.980291334175139E-2</v>
      </c>
      <c r="H101" s="91">
        <f>H100/IS!L$8</f>
        <v>6.3509914638051265E-2</v>
      </c>
      <c r="I101" s="91">
        <f>I100/IS!M$8</f>
        <v>6.3994289246710426E-2</v>
      </c>
      <c r="J101" s="91">
        <f>J100/IS!N$8</f>
        <v>4.3527691211766445E-2</v>
      </c>
      <c r="K101" s="91">
        <f>K100/IS!O$8</f>
        <v>1.2369794076088446E-2</v>
      </c>
      <c r="L101" s="91">
        <f>L100/IS!P$8</f>
        <v>3.5976147097847397E-2</v>
      </c>
      <c r="M101" s="91">
        <f>M100/IS!Q$8</f>
        <v>3.1336815201689079E-2</v>
      </c>
      <c r="N101" s="91">
        <f>N100/IS!R$8</f>
        <v>7.8858328063567129E-2</v>
      </c>
      <c r="O101" s="91">
        <f>O100/IS!S$8</f>
        <v>0.18366038430681414</v>
      </c>
      <c r="P101" s="91">
        <f>P100/IS!T$8</f>
        <v>5.4651229914398615E-2</v>
      </c>
      <c r="Q101" s="91">
        <f>Q100/IS!U$8</f>
        <v>0.19380827212988017</v>
      </c>
      <c r="R101" s="92">
        <f>M101</f>
        <v>3.1336815201689079E-2</v>
      </c>
      <c r="S101" s="92">
        <f t="shared" ref="S101" si="159">N101</f>
        <v>7.8858328063567129E-2</v>
      </c>
      <c r="T101" s="92">
        <f t="shared" ref="T101" si="160">O101</f>
        <v>0.18366038430681414</v>
      </c>
      <c r="U101" s="248">
        <f>U100/U$88</f>
        <v>4.9696532919314071E-2</v>
      </c>
      <c r="V101" s="92">
        <f>U101</f>
        <v>4.9696532919314071E-2</v>
      </c>
      <c r="W101" s="92">
        <f t="shared" ref="W101:AD101" si="161">V101</f>
        <v>4.9696532919314071E-2</v>
      </c>
      <c r="X101" s="92">
        <f t="shared" si="161"/>
        <v>4.9696532919314071E-2</v>
      </c>
      <c r="Y101" s="92">
        <f t="shared" si="161"/>
        <v>4.9696532919314071E-2</v>
      </c>
      <c r="Z101" s="92">
        <f t="shared" si="161"/>
        <v>4.9696532919314071E-2</v>
      </c>
      <c r="AA101" s="92">
        <f t="shared" si="161"/>
        <v>4.9696532919314071E-2</v>
      </c>
      <c r="AB101" s="92">
        <f t="shared" si="161"/>
        <v>4.9696532919314071E-2</v>
      </c>
      <c r="AC101" s="92">
        <f t="shared" si="161"/>
        <v>4.9696532919314071E-2</v>
      </c>
      <c r="AD101" s="92">
        <f t="shared" si="161"/>
        <v>4.9696532919314071E-2</v>
      </c>
    </row>
    <row r="102" spans="2:30">
      <c r="B102" s="29"/>
      <c r="U102" s="249"/>
    </row>
    <row r="103" spans="2:30">
      <c r="B103" s="29" t="s">
        <v>79</v>
      </c>
      <c r="C103" s="82" t="s">
        <v>16</v>
      </c>
      <c r="D103" s="23">
        <f t="shared" ref="D103:Q103" si="162">D18</f>
        <v>33.386000000000003</v>
      </c>
      <c r="E103" s="23">
        <f t="shared" si="162"/>
        <v>20.544999999999998</v>
      </c>
      <c r="F103" s="23">
        <f t="shared" si="162"/>
        <v>29.616</v>
      </c>
      <c r="G103" s="23">
        <f t="shared" si="162"/>
        <v>30.515999999999998</v>
      </c>
      <c r="H103" s="23">
        <f t="shared" si="162"/>
        <v>39.003999999999998</v>
      </c>
      <c r="I103" s="23">
        <f t="shared" si="162"/>
        <v>39.558999999999997</v>
      </c>
      <c r="J103" s="23">
        <f t="shared" si="162"/>
        <v>47.030999999999999</v>
      </c>
      <c r="K103" s="23">
        <f t="shared" si="162"/>
        <v>47.030999999999999</v>
      </c>
      <c r="L103" s="23">
        <f t="shared" si="162"/>
        <v>48.606999999999999</v>
      </c>
      <c r="M103" s="23">
        <f t="shared" si="162"/>
        <v>51.902999999999999</v>
      </c>
      <c r="N103" s="23">
        <f t="shared" si="162"/>
        <v>53.086999999999996</v>
      </c>
      <c r="O103" s="23">
        <f t="shared" si="162"/>
        <v>72.955000000000013</v>
      </c>
      <c r="P103" s="23">
        <f t="shared" si="162"/>
        <v>72.955000000000013</v>
      </c>
      <c r="Q103" s="23">
        <f t="shared" si="162"/>
        <v>78.168000000000006</v>
      </c>
      <c r="R103" s="23">
        <f>R104*R$88</f>
        <v>76.318048030184457</v>
      </c>
      <c r="S103" s="23">
        <f t="shared" ref="S103" si="163">S104*S$88</f>
        <v>65.158671294063296</v>
      </c>
      <c r="T103" s="23">
        <f t="shared" ref="T103" si="164">T104*T$88</f>
        <v>89.994457223606574</v>
      </c>
      <c r="U103" s="23">
        <f>T103</f>
        <v>89.994457223606574</v>
      </c>
      <c r="V103" s="23">
        <f>V104*V$88</f>
        <v>104.88324715406787</v>
      </c>
      <c r="W103" s="23">
        <f t="shared" ref="W103:AD103" si="165">W104*W$88</f>
        <v>120.9527187289554</v>
      </c>
      <c r="X103" s="23">
        <f t="shared" si="165"/>
        <v>133.05031769143275</v>
      </c>
      <c r="Y103" s="23">
        <f t="shared" si="165"/>
        <v>146.25623908588997</v>
      </c>
      <c r="Z103" s="23">
        <f t="shared" si="165"/>
        <v>160.66690820301412</v>
      </c>
      <c r="AA103" s="23">
        <f t="shared" si="165"/>
        <v>176.38685878137795</v>
      </c>
      <c r="AB103" s="23">
        <f t="shared" si="165"/>
        <v>193.52939864170688</v>
      </c>
      <c r="AC103" s="23">
        <f t="shared" si="165"/>
        <v>212.21732899645508</v>
      </c>
      <c r="AD103" s="23">
        <f t="shared" si="165"/>
        <v>232.58372170386485</v>
      </c>
    </row>
    <row r="104" spans="2:30">
      <c r="B104" s="89" t="s">
        <v>139</v>
      </c>
      <c r="C104" s="90" t="s">
        <v>128</v>
      </c>
      <c r="D104" s="91">
        <f>D103/IS!$D$8</f>
        <v>3.1770894792336773E-2</v>
      </c>
      <c r="E104" s="91">
        <f>E103/IS!$E$8</f>
        <v>1.2160330510029535E-2</v>
      </c>
      <c r="F104" s="91">
        <f>F103/IS!$J$8</f>
        <v>1.4552346498304383E-2</v>
      </c>
      <c r="G104" s="91">
        <f>G103/IS!K$8</f>
        <v>4.9655684140642281E-2</v>
      </c>
      <c r="H104" s="91">
        <f>H103/IS!L$8</f>
        <v>6.0923283584420854E-2</v>
      </c>
      <c r="I104" s="91">
        <f>I103/IS!M$8</f>
        <v>5.8224662211886602E-2</v>
      </c>
      <c r="J104" s="91">
        <f>J103/IS!N$8</f>
        <v>6.1247930989127196E-2</v>
      </c>
      <c r="K104" s="91">
        <f>K103/IS!O$8</f>
        <v>1.7405570404275841E-2</v>
      </c>
      <c r="L104" s="91">
        <f>L103/IS!P$8</f>
        <v>6.016075212388855E-2</v>
      </c>
      <c r="M104" s="91">
        <f>M103/IS!Q$8</f>
        <v>5.7676408489832201E-2</v>
      </c>
      <c r="N104" s="91">
        <f>N103/IS!R$8</f>
        <v>4.5612404113167075E-2</v>
      </c>
      <c r="O104" s="91">
        <f>O103/IS!S$8</f>
        <v>5.9969848618363089E-2</v>
      </c>
      <c r="P104" s="91">
        <f>P103/IS!T$8</f>
        <v>1.7845034992950533E-2</v>
      </c>
      <c r="Q104" s="91">
        <f>Q103/IS!U$8</f>
        <v>6.0431387707769624E-2</v>
      </c>
      <c r="R104" s="92">
        <f>M104</f>
        <v>5.7676408489832201E-2</v>
      </c>
      <c r="S104" s="92">
        <f t="shared" ref="S104" si="166">N104</f>
        <v>4.5612404113167075E-2</v>
      </c>
      <c r="T104" s="92">
        <f t="shared" ref="T104" si="167">O104</f>
        <v>5.9969848618363089E-2</v>
      </c>
      <c r="U104" s="248">
        <f>U103/U$88</f>
        <v>1.6227198735738396E-2</v>
      </c>
      <c r="V104" s="92">
        <f>U104</f>
        <v>1.6227198735738396E-2</v>
      </c>
      <c r="W104" s="92">
        <f t="shared" ref="W104:AD104" si="168">V104</f>
        <v>1.6227198735738396E-2</v>
      </c>
      <c r="X104" s="92">
        <f t="shared" si="168"/>
        <v>1.6227198735738396E-2</v>
      </c>
      <c r="Y104" s="92">
        <f t="shared" si="168"/>
        <v>1.6227198735738396E-2</v>
      </c>
      <c r="Z104" s="92">
        <f t="shared" si="168"/>
        <v>1.6227198735738396E-2</v>
      </c>
      <c r="AA104" s="92">
        <f t="shared" si="168"/>
        <v>1.6227198735738396E-2</v>
      </c>
      <c r="AB104" s="92">
        <f t="shared" si="168"/>
        <v>1.6227198735738396E-2</v>
      </c>
      <c r="AC104" s="92">
        <f t="shared" si="168"/>
        <v>1.6227198735738396E-2</v>
      </c>
      <c r="AD104" s="92">
        <f t="shared" si="168"/>
        <v>1.6227198735738396E-2</v>
      </c>
    </row>
    <row r="105" spans="2:30">
      <c r="B105" s="29"/>
      <c r="U105" s="249"/>
    </row>
    <row r="106" spans="2:30">
      <c r="B106" s="29" t="s">
        <v>76</v>
      </c>
      <c r="C106" s="82" t="s">
        <v>16</v>
      </c>
      <c r="D106" s="23">
        <f t="shared" ref="D106:Q106" si="169">D25</f>
        <v>32.170999999999999</v>
      </c>
      <c r="E106" s="23">
        <f t="shared" si="169"/>
        <v>44.582999999999998</v>
      </c>
      <c r="F106" s="23">
        <f t="shared" si="169"/>
        <v>63.7</v>
      </c>
      <c r="G106" s="23">
        <f t="shared" si="169"/>
        <v>63.85</v>
      </c>
      <c r="H106" s="23">
        <f t="shared" si="169"/>
        <v>69.19</v>
      </c>
      <c r="I106" s="23">
        <f t="shared" si="169"/>
        <v>80.33</v>
      </c>
      <c r="J106" s="23">
        <f t="shared" si="169"/>
        <v>80.137</v>
      </c>
      <c r="K106" s="23">
        <f t="shared" si="169"/>
        <v>80.137</v>
      </c>
      <c r="L106" s="23">
        <f t="shared" si="169"/>
        <v>90.637</v>
      </c>
      <c r="M106" s="23">
        <f t="shared" si="169"/>
        <v>113.61</v>
      </c>
      <c r="N106" s="23">
        <f t="shared" si="169"/>
        <v>138.75700000000001</v>
      </c>
      <c r="O106" s="23">
        <f t="shared" si="169"/>
        <v>100.574</v>
      </c>
      <c r="P106" s="23">
        <f t="shared" si="169"/>
        <v>100.574</v>
      </c>
      <c r="Q106" s="23">
        <f t="shared" si="169"/>
        <v>94.662000000000006</v>
      </c>
      <c r="R106" s="23">
        <f>R107*R$89</f>
        <v>181.68496381796001</v>
      </c>
      <c r="S106" s="23">
        <f t="shared" ref="S106:T106" si="170">S107*S$89</f>
        <v>170.73445499915357</v>
      </c>
      <c r="T106" s="23">
        <f t="shared" si="170"/>
        <v>134.28013461843511</v>
      </c>
      <c r="U106" s="23">
        <f>T106</f>
        <v>134.28013461843511</v>
      </c>
      <c r="V106" s="23">
        <f>V107*V$89</f>
        <v>157.07374762920159</v>
      </c>
      <c r="W106" s="23">
        <f t="shared" ref="W106:AD106" si="171">W107*W$89</f>
        <v>180.51792545450419</v>
      </c>
      <c r="X106" s="23">
        <f t="shared" si="171"/>
        <v>198.02639015576369</v>
      </c>
      <c r="Y106" s="23">
        <f t="shared" si="171"/>
        <v>217.09722550744959</v>
      </c>
      <c r="Z106" s="23">
        <f t="shared" si="171"/>
        <v>237.86397882091515</v>
      </c>
      <c r="AA106" s="23">
        <f t="shared" si="171"/>
        <v>260.47130505657833</v>
      </c>
      <c r="AB106" s="23">
        <f t="shared" si="171"/>
        <v>285.07587271207285</v>
      </c>
      <c r="AC106" s="23">
        <f t="shared" si="171"/>
        <v>311.84734247936854</v>
      </c>
      <c r="AD106" s="23">
        <f t="shared" si="171"/>
        <v>340.96942444583686</v>
      </c>
    </row>
    <row r="107" spans="2:30">
      <c r="B107" s="89" t="s">
        <v>141</v>
      </c>
      <c r="C107" s="90" t="s">
        <v>128</v>
      </c>
      <c r="D107" s="91">
        <f>D106/-IS!$D$9</f>
        <v>4.3390475162860959E-2</v>
      </c>
      <c r="E107" s="91">
        <f>E106/-IS!$E$9</f>
        <v>3.6276394834419731E-2</v>
      </c>
      <c r="F107" s="91">
        <f>F106/-IS!$J$9</f>
        <v>4.5517589297006916E-2</v>
      </c>
      <c r="G107" s="91">
        <f>G106/-IS!K$9</f>
        <v>0.15210265439733078</v>
      </c>
      <c r="H107" s="91">
        <f>H106/-IS!L$9</f>
        <v>0.15351480551831423</v>
      </c>
      <c r="I107" s="91">
        <f>I106/-IS!M$9</f>
        <v>0.17443324937027707</v>
      </c>
      <c r="J107" s="91">
        <f>J106/-IS!N$9</f>
        <v>0.15955059759052456</v>
      </c>
      <c r="K107" s="91">
        <f>K106/-IS!O$9</f>
        <v>4.3712481760783295E-2</v>
      </c>
      <c r="L107" s="91">
        <f>L106/-IS!P$9</f>
        <v>0.16890319238345128</v>
      </c>
      <c r="M107" s="91">
        <f>M106/-IS!Q$9</f>
        <v>0.19634851559070468</v>
      </c>
      <c r="N107" s="91">
        <f>N106/-IS!R$9</f>
        <v>0.18342624257574297</v>
      </c>
      <c r="O107" s="91">
        <f>O106/-IS!S$9</f>
        <v>0.1315661068210984</v>
      </c>
      <c r="P107" s="91">
        <f>P106/-IS!T$9</f>
        <v>3.8151922599098304E-2</v>
      </c>
      <c r="Q107" s="91">
        <f>Q106/-IS!U$9</f>
        <v>0.11503463361283267</v>
      </c>
      <c r="R107" s="92">
        <f>M107</f>
        <v>0.19634851559070468</v>
      </c>
      <c r="S107" s="92">
        <f t="shared" ref="S107" si="172">N107</f>
        <v>0.18342624257574297</v>
      </c>
      <c r="T107" s="92">
        <f t="shared" ref="T107" si="173">O107</f>
        <v>0.1315661068210984</v>
      </c>
      <c r="U107" s="248">
        <f>U106/U$89</f>
        <v>3.6295317358894699E-2</v>
      </c>
      <c r="V107" s="92">
        <f>U107</f>
        <v>3.6295317358894699E-2</v>
      </c>
      <c r="W107" s="92">
        <f t="shared" ref="W107:AD107" si="174">V107</f>
        <v>3.6295317358894699E-2</v>
      </c>
      <c r="X107" s="92">
        <f t="shared" si="174"/>
        <v>3.6295317358894699E-2</v>
      </c>
      <c r="Y107" s="92">
        <f t="shared" si="174"/>
        <v>3.6295317358894699E-2</v>
      </c>
      <c r="Z107" s="92">
        <f t="shared" si="174"/>
        <v>3.6295317358894699E-2</v>
      </c>
      <c r="AA107" s="92">
        <f t="shared" si="174"/>
        <v>3.6295317358894699E-2</v>
      </c>
      <c r="AB107" s="92">
        <f t="shared" si="174"/>
        <v>3.6295317358894699E-2</v>
      </c>
      <c r="AC107" s="92">
        <f t="shared" si="174"/>
        <v>3.6295317358894699E-2</v>
      </c>
      <c r="AD107" s="92">
        <f t="shared" si="174"/>
        <v>3.6295317358894699E-2</v>
      </c>
    </row>
    <row r="108" spans="2:30">
      <c r="B108" s="29"/>
      <c r="U108" s="249"/>
    </row>
    <row r="109" spans="2:30">
      <c r="B109" s="29" t="s">
        <v>75</v>
      </c>
      <c r="C109" s="82" t="s">
        <v>16</v>
      </c>
      <c r="D109" s="23">
        <f t="shared" ref="D109:Q109" si="175">D26</f>
        <v>71.878</v>
      </c>
      <c r="E109" s="23">
        <f t="shared" si="175"/>
        <v>77.198999999999998</v>
      </c>
      <c r="F109" s="23">
        <f t="shared" si="175"/>
        <v>107.3</v>
      </c>
      <c r="G109" s="23">
        <f t="shared" si="175"/>
        <v>108.366</v>
      </c>
      <c r="H109" s="23">
        <f t="shared" si="175"/>
        <v>105.083</v>
      </c>
      <c r="I109" s="23">
        <f t="shared" si="175"/>
        <v>119.821</v>
      </c>
      <c r="J109" s="23">
        <f t="shared" si="175"/>
        <v>88.771999999999991</v>
      </c>
      <c r="K109" s="23">
        <f t="shared" si="175"/>
        <v>88.771999999999991</v>
      </c>
      <c r="L109" s="23">
        <f t="shared" si="175"/>
        <v>90.977000000000004</v>
      </c>
      <c r="M109" s="23">
        <f t="shared" si="175"/>
        <v>102.02500000000001</v>
      </c>
      <c r="N109" s="23">
        <f t="shared" si="175"/>
        <v>109.07599999999999</v>
      </c>
      <c r="O109" s="23">
        <f t="shared" si="175"/>
        <v>104.797</v>
      </c>
      <c r="P109" s="23">
        <f t="shared" si="175"/>
        <v>104.797</v>
      </c>
      <c r="Q109" s="23">
        <f t="shared" si="175"/>
        <v>124.43900000000001</v>
      </c>
      <c r="R109" s="23">
        <f>R110*R$89</f>
        <v>163.15824692832823</v>
      </c>
      <c r="S109" s="23">
        <f t="shared" ref="S109" si="176">S110*S$89</f>
        <v>134.21327510314919</v>
      </c>
      <c r="T109" s="23">
        <f t="shared" ref="T109" si="177">T110*T$89</f>
        <v>139.91842093988649</v>
      </c>
      <c r="U109" s="23">
        <f>T109</f>
        <v>139.91842093988649</v>
      </c>
      <c r="V109" s="23">
        <f t="shared" ref="V109:AD109" si="178">V110*V$89</f>
        <v>163.66911458525499</v>
      </c>
      <c r="W109" s="23">
        <f t="shared" si="178"/>
        <v>188.09768960025127</v>
      </c>
      <c r="X109" s="23">
        <f t="shared" si="178"/>
        <v>206.341316932344</v>
      </c>
      <c r="Y109" s="23">
        <f t="shared" si="178"/>
        <v>226.21291726991259</v>
      </c>
      <c r="Z109" s="23">
        <f t="shared" si="178"/>
        <v>247.85164544012807</v>
      </c>
      <c r="AA109" s="23">
        <f t="shared" si="178"/>
        <v>271.40823031811635</v>
      </c>
      <c r="AB109" s="23">
        <f t="shared" si="178"/>
        <v>297.04591875243199</v>
      </c>
      <c r="AC109" s="23">
        <f t="shared" si="178"/>
        <v>324.94149531499573</v>
      </c>
      <c r="AD109" s="23">
        <f t="shared" si="178"/>
        <v>355.28638389295804</v>
      </c>
    </row>
    <row r="110" spans="2:30">
      <c r="B110" s="89" t="s">
        <v>141</v>
      </c>
      <c r="C110" s="90" t="s">
        <v>128</v>
      </c>
      <c r="D110" s="91">
        <f>D109/-IS!$D$9</f>
        <v>9.6945092591343762E-2</v>
      </c>
      <c r="E110" s="91">
        <f>E109/-IS!$E$9</f>
        <v>6.2815454429319892E-2</v>
      </c>
      <c r="F110" s="91">
        <f>F109/-IS!$J$9</f>
        <v>7.6672485581928435E-2</v>
      </c>
      <c r="G110" s="91">
        <f>G109/-IS!K$9</f>
        <v>0.25814810096196006</v>
      </c>
      <c r="H110" s="91">
        <f>H109/-IS!L$9</f>
        <v>0.23315213626652717</v>
      </c>
      <c r="I110" s="91">
        <f>I109/-IS!M$9</f>
        <v>0.26018631112655261</v>
      </c>
      <c r="J110" s="91">
        <f>J109/-IS!N$9</f>
        <v>0.17674264883020385</v>
      </c>
      <c r="K110" s="91">
        <f>K109/-IS!O$9</f>
        <v>4.8422631629188195E-2</v>
      </c>
      <c r="L110" s="91">
        <f>L109/-IS!P$9</f>
        <v>0.16953678667066702</v>
      </c>
      <c r="M110" s="91">
        <f>M109/-IS!Q$9</f>
        <v>0.17632653202307583</v>
      </c>
      <c r="N110" s="91">
        <f>N109/-IS!R$9</f>
        <v>0.14419020903588098</v>
      </c>
      <c r="O110" s="91">
        <f>O109/-IS!S$9</f>
        <v>0.13709043387486478</v>
      </c>
      <c r="P110" s="91">
        <f>P109/-IS!T$9</f>
        <v>3.9753883037541564E-2</v>
      </c>
      <c r="Q110" s="91">
        <f>Q109/-IS!U$9</f>
        <v>0.15122007534329809</v>
      </c>
      <c r="R110" s="92">
        <f>M110</f>
        <v>0.17632653202307583</v>
      </c>
      <c r="S110" s="92">
        <f t="shared" ref="S110" si="179">N110</f>
        <v>0.14419020903588098</v>
      </c>
      <c r="T110" s="92">
        <f t="shared" ref="T110" si="180">O110</f>
        <v>0.13709043387486478</v>
      </c>
      <c r="U110" s="248">
        <f>U109/U$89</f>
        <v>3.7819320831030755E-2</v>
      </c>
      <c r="V110" s="92">
        <f>U110</f>
        <v>3.7819320831030755E-2</v>
      </c>
      <c r="W110" s="92">
        <f t="shared" ref="W110:AD110" si="181">V110</f>
        <v>3.7819320831030755E-2</v>
      </c>
      <c r="X110" s="92">
        <f t="shared" si="181"/>
        <v>3.7819320831030755E-2</v>
      </c>
      <c r="Y110" s="92">
        <f t="shared" si="181"/>
        <v>3.7819320831030755E-2</v>
      </c>
      <c r="Z110" s="92">
        <f t="shared" si="181"/>
        <v>3.7819320831030755E-2</v>
      </c>
      <c r="AA110" s="92">
        <f t="shared" si="181"/>
        <v>3.7819320831030755E-2</v>
      </c>
      <c r="AB110" s="92">
        <f t="shared" si="181"/>
        <v>3.7819320831030755E-2</v>
      </c>
      <c r="AC110" s="92">
        <f t="shared" si="181"/>
        <v>3.7819320831030755E-2</v>
      </c>
      <c r="AD110" s="92">
        <f t="shared" si="181"/>
        <v>3.7819320831030755E-2</v>
      </c>
    </row>
    <row r="111" spans="2:30">
      <c r="B111" s="29"/>
      <c r="U111" s="249"/>
    </row>
    <row r="112" spans="2:30">
      <c r="B112" s="29" t="s">
        <v>77</v>
      </c>
      <c r="C112" s="82" t="s">
        <v>16</v>
      </c>
      <c r="D112" s="23">
        <f t="shared" ref="D112:Q112" si="182">D30</f>
        <v>1.2649999999999999</v>
      </c>
      <c r="E112" s="23">
        <f t="shared" si="182"/>
        <v>14.561999999999999</v>
      </c>
      <c r="F112" s="23">
        <f t="shared" si="182"/>
        <v>96.575999999999993</v>
      </c>
      <c r="G112" s="23">
        <f t="shared" si="182"/>
        <v>0</v>
      </c>
      <c r="H112" s="23">
        <f t="shared" si="182"/>
        <v>35.441000000000003</v>
      </c>
      <c r="I112" s="23">
        <f t="shared" si="182"/>
        <v>34.073</v>
      </c>
      <c r="J112" s="23">
        <f t="shared" si="182"/>
        <v>91.245999999999995</v>
      </c>
      <c r="K112" s="23">
        <f t="shared" si="182"/>
        <v>91.245999999999995</v>
      </c>
      <c r="L112" s="23">
        <f t="shared" si="182"/>
        <v>79.39</v>
      </c>
      <c r="M112" s="23">
        <f t="shared" si="182"/>
        <v>112.83499999999999</v>
      </c>
      <c r="N112" s="23">
        <f t="shared" si="182"/>
        <v>90.430999999999997</v>
      </c>
      <c r="O112" s="23">
        <f t="shared" si="182"/>
        <v>127.047</v>
      </c>
      <c r="P112" s="23">
        <f t="shared" si="182"/>
        <v>127.047</v>
      </c>
      <c r="Q112" s="23">
        <f t="shared" si="182"/>
        <v>144.76400000000001</v>
      </c>
      <c r="R112" s="23">
        <f>R113*R$89</f>
        <v>180.44558482879603</v>
      </c>
      <c r="S112" s="23">
        <f t="shared" ref="S112" si="183">S113*S$89</f>
        <v>111.27141333430714</v>
      </c>
      <c r="T112" s="23">
        <f t="shared" ref="T112" si="184">T113*T$89</f>
        <v>169.62523378674732</v>
      </c>
      <c r="U112" s="23">
        <f>T112</f>
        <v>169.62523378674732</v>
      </c>
      <c r="V112" s="23">
        <f t="shared" ref="V112:AD112" si="185">V113*V$89</f>
        <v>198.41856160684841</v>
      </c>
      <c r="W112" s="23">
        <f t="shared" si="185"/>
        <v>228.03369534092698</v>
      </c>
      <c r="X112" s="23">
        <f t="shared" si="185"/>
        <v>250.1507227525932</v>
      </c>
      <c r="Y112" s="23">
        <f t="shared" si="185"/>
        <v>274.24136664590196</v>
      </c>
      <c r="Z112" s="23">
        <f t="shared" si="185"/>
        <v>300.47432653827832</v>
      </c>
      <c r="AA112" s="23">
        <f t="shared" si="185"/>
        <v>329.03233334184876</v>
      </c>
      <c r="AB112" s="23">
        <f t="shared" si="185"/>
        <v>360.11329369867678</v>
      </c>
      <c r="AC112" s="23">
        <f t="shared" si="185"/>
        <v>393.93152623915057</v>
      </c>
      <c r="AD112" s="23">
        <f t="shared" si="185"/>
        <v>430.71909705858604</v>
      </c>
    </row>
    <row r="113" spans="2:30">
      <c r="B113" s="89" t="s">
        <v>141</v>
      </c>
      <c r="C113" s="90" t="s">
        <v>128</v>
      </c>
      <c r="D113" s="91">
        <f>D112/-IS!$D$9</f>
        <v>1.706162415872031E-3</v>
      </c>
      <c r="E113" s="91">
        <f>E112/-IS!$E$9</f>
        <v>1.1848840624875404E-2</v>
      </c>
      <c r="F113" s="91">
        <f>F112/-IS!$J$9</f>
        <v>6.9009524394783972E-2</v>
      </c>
      <c r="G113" s="91">
        <f>G112/-IS!K$9</f>
        <v>0</v>
      </c>
      <c r="H113" s="91">
        <f>H112/-IS!L$9</f>
        <v>7.8634459060190426E-2</v>
      </c>
      <c r="I113" s="91">
        <f>I112/-IS!M$9</f>
        <v>7.398810040823417E-2</v>
      </c>
      <c r="J113" s="91">
        <f>J112/-IS!N$9</f>
        <v>0.18166831585590931</v>
      </c>
      <c r="K113" s="91">
        <f>K112/-IS!O$9</f>
        <v>4.9772129113199053E-2</v>
      </c>
      <c r="L113" s="91">
        <f>L112/-IS!P$9</f>
        <v>0.14794426606487635</v>
      </c>
      <c r="M113" s="91">
        <f>M112/-IS!Q$9</f>
        <v>0.19500910797180848</v>
      </c>
      <c r="N113" s="91">
        <f>N112/-IS!R$9</f>
        <v>0.11954293147276902</v>
      </c>
      <c r="O113" s="91">
        <f>O112/-IS!S$9</f>
        <v>0.16619682197486516</v>
      </c>
      <c r="P113" s="91">
        <f>P112/-IS!T$9</f>
        <v>4.8194238177338498E-2</v>
      </c>
      <c r="Q113" s="91">
        <f>Q112/-IS!U$9</f>
        <v>0.17591930975817233</v>
      </c>
      <c r="R113" s="92">
        <f>M113</f>
        <v>0.19500910797180848</v>
      </c>
      <c r="S113" s="92">
        <f t="shared" ref="S113" si="186">N113</f>
        <v>0.11954293147276902</v>
      </c>
      <c r="T113" s="92">
        <f t="shared" ref="T113" si="187">O113</f>
        <v>0.16619682197486516</v>
      </c>
      <c r="U113" s="248">
        <f>U112/U$89</f>
        <v>4.5848938935465371E-2</v>
      </c>
      <c r="V113" s="92">
        <f>U113</f>
        <v>4.5848938935465371E-2</v>
      </c>
      <c r="W113" s="92">
        <f t="shared" ref="W113:AD113" si="188">V113</f>
        <v>4.5848938935465371E-2</v>
      </c>
      <c r="X113" s="92">
        <f t="shared" si="188"/>
        <v>4.5848938935465371E-2</v>
      </c>
      <c r="Y113" s="92">
        <f t="shared" si="188"/>
        <v>4.5848938935465371E-2</v>
      </c>
      <c r="Z113" s="92">
        <f t="shared" si="188"/>
        <v>4.5848938935465371E-2</v>
      </c>
      <c r="AA113" s="92">
        <f t="shared" si="188"/>
        <v>4.5848938935465371E-2</v>
      </c>
      <c r="AB113" s="92">
        <f t="shared" si="188"/>
        <v>4.5848938935465371E-2</v>
      </c>
      <c r="AC113" s="92">
        <f t="shared" si="188"/>
        <v>4.5848938935465371E-2</v>
      </c>
      <c r="AD113" s="92">
        <f t="shared" si="188"/>
        <v>4.5848938935465371E-2</v>
      </c>
    </row>
    <row r="114" spans="2:30">
      <c r="B114" s="29"/>
      <c r="U114" s="249"/>
    </row>
    <row r="115" spans="2:30">
      <c r="B115" s="29" t="s">
        <v>78</v>
      </c>
      <c r="C115" s="82" t="s">
        <v>16</v>
      </c>
      <c r="D115" s="23">
        <f t="shared" ref="D115:Q115" si="189">D35</f>
        <v>98.88000000000001</v>
      </c>
      <c r="E115" s="23">
        <f t="shared" si="189"/>
        <v>99.927000000000007</v>
      </c>
      <c r="F115" s="23">
        <f t="shared" si="189"/>
        <v>216.511</v>
      </c>
      <c r="G115" s="23">
        <f t="shared" si="189"/>
        <v>219.97300000000001</v>
      </c>
      <c r="H115" s="23">
        <f t="shared" si="189"/>
        <v>440.41800000000001</v>
      </c>
      <c r="I115" s="23">
        <f t="shared" si="189"/>
        <v>294.46199999999999</v>
      </c>
      <c r="J115" s="23">
        <f t="shared" si="189"/>
        <v>130.99199999999999</v>
      </c>
      <c r="K115" s="23">
        <f t="shared" si="189"/>
        <v>130.99199999999999</v>
      </c>
      <c r="L115" s="23">
        <f t="shared" si="189"/>
        <v>133.108</v>
      </c>
      <c r="M115" s="23">
        <f t="shared" si="189"/>
        <v>179.96499999999997</v>
      </c>
      <c r="N115" s="23">
        <f t="shared" si="189"/>
        <v>165.82599999999999</v>
      </c>
      <c r="O115" s="23">
        <f t="shared" si="189"/>
        <v>164.06700000000001</v>
      </c>
      <c r="P115" s="23">
        <f t="shared" si="189"/>
        <v>164.06700000000001</v>
      </c>
      <c r="Q115" s="23">
        <f t="shared" si="189"/>
        <v>162.36099999999999</v>
      </c>
      <c r="R115" s="23">
        <f>R116*R$89</f>
        <v>287.79979327083151</v>
      </c>
      <c r="S115" s="23">
        <f t="shared" ref="S115" si="190">S116*S$89</f>
        <v>204.04168247144028</v>
      </c>
      <c r="T115" s="23">
        <f t="shared" ref="T115" si="191">T116*T$89</f>
        <v>219.05202981329958</v>
      </c>
      <c r="U115" s="23">
        <f>T115</f>
        <v>219.05202981329958</v>
      </c>
      <c r="V115" s="23">
        <f t="shared" ref="V115:AD115" si="192">V116*V$89</f>
        <v>256.23539435918042</v>
      </c>
      <c r="W115" s="23">
        <f t="shared" si="192"/>
        <v>294.48002938676132</v>
      </c>
      <c r="X115" s="23">
        <f t="shared" si="192"/>
        <v>323.0416981892505</v>
      </c>
      <c r="Y115" s="23">
        <f t="shared" si="192"/>
        <v>354.15207207957053</v>
      </c>
      <c r="Z115" s="23">
        <f t="shared" si="192"/>
        <v>388.02900762832422</v>
      </c>
      <c r="AA115" s="23">
        <f t="shared" si="192"/>
        <v>424.90848138403192</v>
      </c>
      <c r="AB115" s="23">
        <f t="shared" si="192"/>
        <v>465.04606765418157</v>
      </c>
      <c r="AC115" s="23">
        <f t="shared" si="192"/>
        <v>508.71853499475566</v>
      </c>
      <c r="AD115" s="23">
        <f t="shared" si="192"/>
        <v>556.22557082899266</v>
      </c>
    </row>
    <row r="116" spans="2:30">
      <c r="B116" s="89" t="s">
        <v>141</v>
      </c>
      <c r="C116" s="90" t="s">
        <v>128</v>
      </c>
      <c r="D116" s="91">
        <f>D115/-IS!$D$9</f>
        <v>0.13336390488650313</v>
      </c>
      <c r="E116" s="91">
        <f>E115/-IS!$E$9</f>
        <v>8.1308824139673441E-2</v>
      </c>
      <c r="F116" s="91">
        <f>F115/-IS!$J$9</f>
        <v>0.15471049884276708</v>
      </c>
      <c r="G116" s="91">
        <f>G115/-IS!K$9</f>
        <v>0.52401687072426073</v>
      </c>
      <c r="H116" s="91">
        <f>H115/-IS!L$9</f>
        <v>0.97717421038827756</v>
      </c>
      <c r="I116" s="91">
        <f>I115/-IS!M$9</f>
        <v>0.63941196907843312</v>
      </c>
      <c r="J116" s="91">
        <f>J115/-IS!N$9</f>
        <v>0.26080152588165256</v>
      </c>
      <c r="K116" s="91">
        <f>K115/-IS!O$9</f>
        <v>7.1452455305396068E-2</v>
      </c>
      <c r="L116" s="91">
        <f>L115/-IS!P$9</f>
        <v>0.24804843641974506</v>
      </c>
      <c r="M116" s="91">
        <f>M115/-IS!Q$9</f>
        <v>0.31102773178664872</v>
      </c>
      <c r="N116" s="91">
        <f>N115/-IS!R$9</f>
        <v>0.21920940998555138</v>
      </c>
      <c r="O116" s="91">
        <f>O115/-IS!S$9</f>
        <v>0.21462461916416919</v>
      </c>
      <c r="P116" s="91">
        <f>P115/-IS!T$9</f>
        <v>6.2237471762744467E-2</v>
      </c>
      <c r="Q116" s="91">
        <f>Q115/-IS!U$9</f>
        <v>0.19730343905699355</v>
      </c>
      <c r="R116" s="92">
        <f>M116</f>
        <v>0.31102773178664872</v>
      </c>
      <c r="S116" s="92">
        <f t="shared" ref="S116" si="193">N116</f>
        <v>0.21920940998555138</v>
      </c>
      <c r="T116" s="92">
        <f t="shared" ref="T116" si="194">O116</f>
        <v>0.21462461916416919</v>
      </c>
      <c r="U116" s="248">
        <f>U115/U$89</f>
        <v>5.9208779934394336E-2</v>
      </c>
      <c r="V116" s="92">
        <f>U116</f>
        <v>5.9208779934394336E-2</v>
      </c>
      <c r="W116" s="92">
        <f t="shared" ref="W116:AD116" si="195">V116</f>
        <v>5.9208779934394336E-2</v>
      </c>
      <c r="X116" s="92">
        <f t="shared" si="195"/>
        <v>5.9208779934394336E-2</v>
      </c>
      <c r="Y116" s="92">
        <f t="shared" si="195"/>
        <v>5.9208779934394336E-2</v>
      </c>
      <c r="Z116" s="92">
        <f t="shared" si="195"/>
        <v>5.9208779934394336E-2</v>
      </c>
      <c r="AA116" s="92">
        <f t="shared" si="195"/>
        <v>5.9208779934394336E-2</v>
      </c>
      <c r="AB116" s="92">
        <f t="shared" si="195"/>
        <v>5.9208779934394336E-2</v>
      </c>
      <c r="AC116" s="92">
        <f t="shared" si="195"/>
        <v>5.9208779934394336E-2</v>
      </c>
      <c r="AD116" s="92">
        <f t="shared" si="195"/>
        <v>5.9208779934394336E-2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2BB8-EDDD-47B8-AA7B-5A747E320D98}">
  <dimension ref="A1:AD95"/>
  <sheetViews>
    <sheetView showGridLines="0" topLeftCell="B1" zoomScaleNormal="100" workbookViewId="0">
      <pane xSplit="2" ySplit="4" topLeftCell="E20" activePane="bottomRight" state="frozen"/>
      <selection activeCell="B1" sqref="B1"/>
      <selection pane="topRight" activeCell="D1" sqref="D1"/>
      <selection pane="bottomLeft" activeCell="B5" sqref="B5"/>
      <selection pane="bottomRight" activeCell="L2" sqref="L2"/>
    </sheetView>
  </sheetViews>
  <sheetFormatPr defaultRowHeight="14.4" outlineLevelCol="1"/>
  <cols>
    <col min="1" max="1" width="4.33203125" customWidth="1"/>
    <col min="2" max="2" width="53.109375" customWidth="1"/>
    <col min="7" max="10" width="9.109375" hidden="1" customWidth="1" outlineLevel="1"/>
    <col min="11" max="11" width="9.109375" collapsed="1"/>
    <col min="12" max="15" width="9.109375" customWidth="1" outlineLevel="1"/>
    <col min="17" max="20" width="9.109375" customWidth="1" outlineLevel="1"/>
    <col min="21" max="21" width="9.109375" customWidth="1"/>
  </cols>
  <sheetData>
    <row r="1" spans="1:30">
      <c r="R1" s="13">
        <f ca="1">SUM(R5,R18)</f>
        <v>-44.321415506389044</v>
      </c>
    </row>
    <row r="2" spans="1:30">
      <c r="R2" s="13"/>
    </row>
    <row r="4" spans="1:30">
      <c r="A4" s="7"/>
      <c r="B4" s="30" t="s">
        <v>80</v>
      </c>
      <c r="C4" s="7" t="s">
        <v>16</v>
      </c>
      <c r="D4" s="6">
        <v>2018</v>
      </c>
      <c r="E4" s="6">
        <v>2019</v>
      </c>
      <c r="F4" s="6">
        <v>2020</v>
      </c>
      <c r="G4" s="8" t="s">
        <v>4</v>
      </c>
      <c r="H4" s="8" t="s">
        <v>5</v>
      </c>
      <c r="I4" s="8" t="s">
        <v>6</v>
      </c>
      <c r="J4" s="8" t="s">
        <v>7</v>
      </c>
      <c r="K4" s="6">
        <v>2021</v>
      </c>
      <c r="L4" s="8" t="s">
        <v>8</v>
      </c>
      <c r="M4" s="8" t="s">
        <v>9</v>
      </c>
      <c r="N4" s="8" t="s">
        <v>10</v>
      </c>
      <c r="O4" s="8" t="s">
        <v>11</v>
      </c>
      <c r="P4" s="6">
        <v>2022</v>
      </c>
      <c r="Q4" s="64" t="s">
        <v>100</v>
      </c>
      <c r="R4" s="63" t="s">
        <v>101</v>
      </c>
      <c r="S4" s="63" t="s">
        <v>102</v>
      </c>
      <c r="T4" s="63" t="s">
        <v>103</v>
      </c>
      <c r="U4" s="37">
        <v>2023</v>
      </c>
      <c r="V4" s="37">
        <v>2024</v>
      </c>
      <c r="W4" s="37">
        <v>2025</v>
      </c>
      <c r="X4" s="37">
        <v>2026</v>
      </c>
      <c r="Y4" s="37">
        <v>2027</v>
      </c>
      <c r="Z4" s="37">
        <v>2028</v>
      </c>
      <c r="AA4" s="37">
        <v>2029</v>
      </c>
      <c r="AB4" s="37">
        <v>2030</v>
      </c>
      <c r="AC4" s="37">
        <v>2031</v>
      </c>
      <c r="AD4" s="37">
        <v>2032</v>
      </c>
    </row>
    <row r="5" spans="1:30">
      <c r="B5" t="s">
        <v>35</v>
      </c>
      <c r="D5" s="17">
        <f>IS!D32</f>
        <v>16.257000000000062</v>
      </c>
      <c r="E5" s="17">
        <v>19.096</v>
      </c>
      <c r="F5" s="17">
        <v>-125.205</v>
      </c>
      <c r="G5" s="17">
        <f>IS!K32</f>
        <v>6.5434146300000435</v>
      </c>
      <c r="H5" s="17">
        <f>IS!L32</f>
        <v>-202.58888557000003</v>
      </c>
      <c r="I5" s="17">
        <f>IS!M32</f>
        <v>150.77258114786704</v>
      </c>
      <c r="J5" s="17">
        <f>IS!N32</f>
        <v>22.844331858290616</v>
      </c>
      <c r="K5" s="17">
        <f>IS!O32</f>
        <v>-22.428557933842526</v>
      </c>
      <c r="L5" s="17">
        <f>IS!P32</f>
        <v>-15.58957981053382</v>
      </c>
      <c r="M5" s="17">
        <f>IS!Q32</f>
        <v>-24.589336091478025</v>
      </c>
      <c r="N5" s="17">
        <f>IS!R32</f>
        <v>56.991605062011992</v>
      </c>
      <c r="O5" s="17">
        <f>IS!S32</f>
        <v>96.912000000000063</v>
      </c>
      <c r="P5" s="17">
        <f>IS!T32</f>
        <v>113.72468916000055</v>
      </c>
      <c r="Q5" s="17">
        <f>IS!U32</f>
        <v>41.222000000000008</v>
      </c>
      <c r="R5" s="17">
        <f ca="1">IS!V32</f>
        <v>2.110584493610955</v>
      </c>
      <c r="S5" s="17">
        <f ca="1">IS!W32</f>
        <v>59.969218899945105</v>
      </c>
      <c r="T5" s="17">
        <f ca="1">IS!X32</f>
        <v>40.035926262022258</v>
      </c>
      <c r="U5" s="17">
        <f ca="1">IS!Y32</f>
        <v>143.33772965557833</v>
      </c>
      <c r="V5" s="17">
        <f ca="1">IS!Z32</f>
        <v>352.74576814426518</v>
      </c>
      <c r="W5" s="17">
        <f ca="1">IS!AA32</f>
        <v>515.27876400660705</v>
      </c>
      <c r="X5" s="17">
        <f ca="1">IS!AB32</f>
        <v>645.48123926427922</v>
      </c>
      <c r="Y5" s="17">
        <f ca="1">IS!AC32</f>
        <v>791.52518781460867</v>
      </c>
      <c r="Z5" s="17">
        <f ca="1">IS!AD32</f>
        <v>968.47886419055317</v>
      </c>
      <c r="AA5" s="17">
        <f ca="1">IS!AE32</f>
        <v>1169.8548386201596</v>
      </c>
      <c r="AB5" s="17">
        <f ca="1">IS!AF32</f>
        <v>1398.4080742629158</v>
      </c>
      <c r="AC5" s="17">
        <f ca="1">IS!AG32</f>
        <v>1657.222041218502</v>
      </c>
      <c r="AD5" s="17">
        <f ca="1">IS!AH32</f>
        <v>1953.5674135599197</v>
      </c>
    </row>
    <row r="6" spans="1:30">
      <c r="B6" t="s">
        <v>28</v>
      </c>
      <c r="D6" s="17">
        <f>-IS!D18</f>
        <v>17.928000000000001</v>
      </c>
      <c r="E6" s="17">
        <f>-IS!E18</f>
        <v>64.103999999999999</v>
      </c>
      <c r="F6" s="17">
        <f>-IS!J18</f>
        <v>106.81299999999999</v>
      </c>
      <c r="G6" s="17">
        <f>-IS!K18</f>
        <v>27.870999999999999</v>
      </c>
      <c r="H6" s="17">
        <f>-IS!L18</f>
        <v>36.014000000000003</v>
      </c>
      <c r="I6" s="17">
        <f>-IS!M18</f>
        <v>27.184000000000001</v>
      </c>
      <c r="J6" s="17">
        <f>-IS!N18</f>
        <v>35.904000000000003</v>
      </c>
      <c r="K6" s="17">
        <f>-IS!O18</f>
        <v>126.97300000000001</v>
      </c>
      <c r="L6" s="17">
        <f>-IS!P18</f>
        <v>34.979999999999997</v>
      </c>
      <c r="M6" s="17">
        <f>-IS!Q18</f>
        <v>47.670999999999999</v>
      </c>
      <c r="N6" s="17">
        <f>-IS!R18</f>
        <v>49.106999999999999</v>
      </c>
      <c r="O6" s="17">
        <f>-IS!S18</f>
        <v>43.4</v>
      </c>
      <c r="P6" s="17">
        <f>-IS!T18</f>
        <v>175.15799999999999</v>
      </c>
      <c r="Q6" s="17">
        <f>-IS!U18</f>
        <v>60.3</v>
      </c>
      <c r="R6" s="17">
        <f>'Capex and D&amp;A'!V46</f>
        <v>97.501234191279167</v>
      </c>
      <c r="S6" s="17">
        <f>'Capex and D&amp;A'!W46</f>
        <v>97.501234191279167</v>
      </c>
      <c r="T6" s="17">
        <f>'Capex and D&amp;A'!X46</f>
        <v>97.501234191279167</v>
      </c>
      <c r="U6" s="17">
        <f>'Capex and D&amp;A'!Y46</f>
        <v>259.40370257383745</v>
      </c>
      <c r="V6" s="17">
        <f>'Capex and D&amp;A'!Z46</f>
        <v>284.32588619428759</v>
      </c>
      <c r="W6" s="17">
        <f>'Capex and D&amp;A'!AA46</f>
        <v>300.49189389622961</v>
      </c>
      <c r="X6" s="17">
        <f>'Capex and D&amp;A'!AB46</f>
        <v>309.79916963696905</v>
      </c>
      <c r="Y6" s="17">
        <f>'Capex and D&amp;A'!AC46</f>
        <v>320.56551840746351</v>
      </c>
      <c r="Z6" s="17">
        <f>'Capex and D&amp;A'!AD46</f>
        <v>332.2232274488569</v>
      </c>
      <c r="AA6" s="17">
        <f>'Capex and D&amp;A'!AE46</f>
        <v>344.86395762882182</v>
      </c>
      <c r="AB6" s="17">
        <f>'Capex and D&amp;A'!AF46</f>
        <v>358.57969982770646</v>
      </c>
      <c r="AC6" s="17">
        <f>'Capex and D&amp;A'!AG46</f>
        <v>373.46404240154328</v>
      </c>
      <c r="AD6" s="17">
        <f>'Capex and D&amp;A'!AH46</f>
        <v>389.6133469227043</v>
      </c>
    </row>
    <row r="7" spans="1:30">
      <c r="B7" t="s">
        <v>82</v>
      </c>
      <c r="D7" s="15">
        <v>17.218000000000011</v>
      </c>
      <c r="E7" s="15">
        <v>56.040999999999997</v>
      </c>
      <c r="F7" s="15">
        <v>143.95199999999997</v>
      </c>
      <c r="G7" s="15">
        <v>1.3180000000000045</v>
      </c>
      <c r="H7" s="15">
        <v>214.62100000000001</v>
      </c>
      <c r="I7" s="15">
        <v>-111.82900000000002</v>
      </c>
      <c r="J7" s="15">
        <v>-0.65599999999994152</v>
      </c>
      <c r="K7" s="17">
        <v>103.45400000000004</v>
      </c>
      <c r="L7" s="15">
        <v>17.123000000000005</v>
      </c>
      <c r="M7" s="15">
        <v>79.449999999999932</v>
      </c>
      <c r="N7" s="15">
        <v>-87.623999999999967</v>
      </c>
      <c r="O7" s="15">
        <v>-56.083000000000006</v>
      </c>
      <c r="P7" s="17">
        <v>-47.134000000000086</v>
      </c>
      <c r="Q7" s="17">
        <v>14.419000000000011</v>
      </c>
      <c r="R7" s="17">
        <f>0</f>
        <v>0</v>
      </c>
      <c r="S7" s="17">
        <f>0</f>
        <v>0</v>
      </c>
      <c r="T7" s="17">
        <f>0</f>
        <v>0</v>
      </c>
      <c r="U7" s="17">
        <f>0</f>
        <v>0</v>
      </c>
      <c r="V7" s="17">
        <f>0</f>
        <v>0</v>
      </c>
      <c r="W7" s="17">
        <f>0</f>
        <v>0</v>
      </c>
      <c r="X7" s="17">
        <f>0</f>
        <v>0</v>
      </c>
      <c r="Y7" s="17">
        <f>0</f>
        <v>0</v>
      </c>
      <c r="Z7" s="17">
        <f>0</f>
        <v>0</v>
      </c>
      <c r="AA7" s="17">
        <f>0</f>
        <v>0</v>
      </c>
      <c r="AB7" s="17">
        <f>0</f>
        <v>0</v>
      </c>
      <c r="AC7" s="17">
        <f>0</f>
        <v>0</v>
      </c>
      <c r="AD7" s="17">
        <f>0</f>
        <v>0</v>
      </c>
    </row>
    <row r="8" spans="1:30">
      <c r="B8" t="s">
        <v>83</v>
      </c>
      <c r="D8" s="15">
        <v>-48.600999999999999</v>
      </c>
      <c r="E8" s="15">
        <v>-96.777000000000015</v>
      </c>
      <c r="F8" s="15">
        <v>-59.571000000000012</v>
      </c>
      <c r="G8" s="15">
        <v>-30.736999999999998</v>
      </c>
      <c r="H8" s="15">
        <v>-124.12100000000001</v>
      </c>
      <c r="I8" s="15">
        <v>-40.292000000000002</v>
      </c>
      <c r="J8" s="15">
        <v>36.639000000000038</v>
      </c>
      <c r="K8" s="17">
        <v>-158.51099999999997</v>
      </c>
      <c r="L8" s="15">
        <v>-189.73399999999998</v>
      </c>
      <c r="M8" s="15">
        <v>-301.40099999999995</v>
      </c>
      <c r="N8" s="15">
        <v>-52.755000000000024</v>
      </c>
      <c r="O8" s="15">
        <v>60.049999999999955</v>
      </c>
      <c r="P8" s="17">
        <v>-483.84000000000003</v>
      </c>
      <c r="Q8" s="17">
        <v>-352</v>
      </c>
      <c r="R8" s="17">
        <f>-BS!R84</f>
        <v>137.18018279104081</v>
      </c>
      <c r="S8" s="17">
        <f>-BS!S84</f>
        <v>91.827619731551749</v>
      </c>
      <c r="T8" s="17">
        <f>-BS!T84</f>
        <v>154.73559736891616</v>
      </c>
      <c r="U8" s="17">
        <f>-BS!U84</f>
        <v>-112.88760010849137</v>
      </c>
      <c r="V8" s="17">
        <f>-BS!V84</f>
        <v>-139.99120454031709</v>
      </c>
      <c r="W8" s="17">
        <f>-BS!W84</f>
        <v>-158.27803559764698</v>
      </c>
      <c r="X8" s="17">
        <f>-BS!X84</f>
        <v>-120.03260454617089</v>
      </c>
      <c r="Y8" s="17">
        <f>-BS!Y84</f>
        <v>-131.28818959506998</v>
      </c>
      <c r="Z8" s="17">
        <f>-BS!Z84</f>
        <v>-143.53780868780154</v>
      </c>
      <c r="AA8" s="17">
        <f>-BS!AA84</f>
        <v>-156.86581083851729</v>
      </c>
      <c r="AB8" s="17">
        <f>-BS!AB84</f>
        <v>-171.36350637821715</v>
      </c>
      <c r="AC8" s="17">
        <f>-BS!AC84</f>
        <v>-187.12973003862226</v>
      </c>
      <c r="AD8" s="17">
        <f>-BS!AD84</f>
        <v>-204.27144890186537</v>
      </c>
    </row>
    <row r="9" spans="1:30">
      <c r="B9" t="s">
        <v>84</v>
      </c>
      <c r="D9" s="15">
        <v>36.056999999999995</v>
      </c>
      <c r="E9" s="15">
        <v>54.611000000000004</v>
      </c>
      <c r="F9" s="15">
        <v>31.569000000000006</v>
      </c>
      <c r="G9" s="15">
        <v>-1.456</v>
      </c>
      <c r="H9" s="15">
        <v>-33.530999999999999</v>
      </c>
      <c r="I9" s="15">
        <v>45.100999999999992</v>
      </c>
      <c r="J9" s="15">
        <v>-68.896000000000001</v>
      </c>
      <c r="K9" s="17">
        <v>-58.782000000000004</v>
      </c>
      <c r="L9" s="15">
        <v>-18.738</v>
      </c>
      <c r="M9" s="15">
        <v>-49.426000000000002</v>
      </c>
      <c r="N9" s="15">
        <v>51.145000000000003</v>
      </c>
      <c r="O9" s="15">
        <v>-12.527999999999992</v>
      </c>
      <c r="P9" s="17">
        <v>-29.54699999999999</v>
      </c>
      <c r="Q9" s="17">
        <v>-11.018000000000001</v>
      </c>
      <c r="R9" s="17">
        <f>(BS!Q10-BS!R10)+(BS!Q11-BS!R11)+(BS!Q14-BS!R14)+(BS!Q18-BS!R18)+(BS!R25-BS!Q25)+(BS!R26-BS!Q26)+(BS!R30-BS!Q30)+(BS!R35-BS!Q35)</f>
        <v>480.60180118135008</v>
      </c>
      <c r="S9" s="17">
        <f>(BS!R10-BS!S10)+(BS!R11-BS!S11)+(BS!R14-BS!S14)+(BS!R18-BS!S18)+(BS!S25-BS!R25)+(BS!S26-BS!R26)+(BS!S30-BS!R30)+(BS!S35-BS!R35)</f>
        <v>-235.48676332383243</v>
      </c>
      <c r="T9" s="17">
        <f>(BS!S10-BS!T10)+(BS!S11-BS!T11)+(BS!S14-BS!T14)+(BS!S18-BS!T18)+(BS!T25-BS!S25)+(BS!T26-BS!S26)+(BS!T30-BS!S30)+(BS!T35-BS!S35)</f>
        <v>-154.71959015316688</v>
      </c>
      <c r="U9" s="17">
        <f>SUM(Q9:T9)</f>
        <v>79.377447704350743</v>
      </c>
      <c r="V9" s="17">
        <f>(BS!U10-BS!V10)+(BS!U11-BS!V11)+(BS!U14-BS!V14)+(BS!U18-BS!V18)+(BS!V25-BS!U25)+(BS!V26-BS!U26)+(BS!V30-BS!U30)+(BS!V35-BS!U35)</f>
        <v>13.161923197917602</v>
      </c>
      <c r="W9" s="17">
        <f>(BS!V10-BS!W10)+(BS!V11-BS!W11)+(BS!V14-BS!W14)+(BS!V18-BS!W18)+(BS!W25-BS!V25)+(BS!W26-BS!V26)+(BS!W30-BS!V30)+(BS!W35-BS!V35)</f>
        <v>8.494267041226891</v>
      </c>
      <c r="X9" s="17">
        <f>(BS!W10-BS!X10)+(BS!W11-BS!X11)+(BS!W14-BS!X14)+(BS!W18-BS!X18)+(BS!X25-BS!W25)+(BS!X26-BS!W26)+(BS!X30-BS!W30)+(BS!X35-BS!W35)</f>
        <v>5.6984884288144144</v>
      </c>
      <c r="Y9" s="17">
        <f>(BS!X10-BS!Y10)+(BS!X11-BS!Y11)+(BS!X14-BS!Y14)+(BS!X18-BS!Y18)+(BS!Y25-BS!X25)+(BS!Y26-BS!X26)+(BS!Y30-BS!X30)+(BS!Y35-BS!X35)</f>
        <v>6.0148579799898556</v>
      </c>
      <c r="Z9" s="17">
        <f>(BS!Y10-BS!Z10)+(BS!Y11-BS!Z11)+(BS!Y14-BS!Z14)+(BS!Y18-BS!Z18)+(BS!Z25-BS!Y25)+(BS!Z26-BS!Y26)+(BS!Z30-BS!Y30)+(BS!Z35-BS!Y35)</f>
        <v>6.3469997650009304</v>
      </c>
      <c r="AA9" s="17">
        <f>(BS!Z10-BS!AA10)+(BS!Z11-BS!AA11)+(BS!Z14-BS!AA14)+(BS!Z18-BS!AA18)+(BS!AA25-BS!Z25)+(BS!AA26-BS!Z26)+(BS!AA30-BS!Z30)+(BS!AA35-BS!Z35)</f>
        <v>6.6956358147752724</v>
      </c>
      <c r="AB9" s="17">
        <f>(BS!AA10-BS!AB10)+(BS!AA11-BS!AB11)+(BS!AA14-BS!AB14)+(BS!AA18-BS!AB18)+(BS!AB25-BS!AA25)+(BS!AB26-BS!AA26)+(BS!AB30-BS!AA30)+(BS!AB35-BS!AA35)</f>
        <v>7.0615180363701171</v>
      </c>
      <c r="AC9" s="17">
        <f>(BS!AB10-BS!AC10)+(BS!AB11-BS!AC11)+(BS!AB14-BS!AC14)+(BS!AB18-BS!AC18)+(BS!AC25-BS!AB25)+(BS!AC26-BS!AB26)+(BS!AC30-BS!AB30)+(BS!AC35-BS!AB35)</f>
        <v>7.44542924041383</v>
      </c>
      <c r="AD9" s="17">
        <f>(BS!AC10-BS!AD10)+(BS!AC11-BS!AD11)+(BS!AC14-BS!AD14)+(BS!AC18-BS!AD18)+(BS!AD25-BS!AC25)+(BS!AD26-BS!AC26)+(BS!AD30-BS!AC30)+(BS!AD35-BS!AC35)</f>
        <v>7.8481841868385516</v>
      </c>
    </row>
    <row r="10" spans="1:30" s="11" customFormat="1">
      <c r="B10" s="47" t="s">
        <v>85</v>
      </c>
      <c r="C10" s="47"/>
      <c r="D10" s="41">
        <f>SUM(D5:D9)</f>
        <v>38.859000000000066</v>
      </c>
      <c r="E10" s="41">
        <f t="shared" ref="E10:Q10" si="0">SUM(E5:E9)</f>
        <v>97.074999999999974</v>
      </c>
      <c r="F10" s="41">
        <f t="shared" si="0"/>
        <v>97.55799999999995</v>
      </c>
      <c r="G10" s="41">
        <f t="shared" si="0"/>
        <v>3.5394146300000453</v>
      </c>
      <c r="H10" s="41">
        <f t="shared" si="0"/>
        <v>-109.60588557000003</v>
      </c>
      <c r="I10" s="41">
        <f t="shared" si="0"/>
        <v>70.936581147867003</v>
      </c>
      <c r="J10" s="41">
        <f t="shared" si="0"/>
        <v>25.835331858290715</v>
      </c>
      <c r="K10" s="41">
        <f t="shared" si="0"/>
        <v>-9.2945579338424622</v>
      </c>
      <c r="L10" s="41">
        <f t="shared" si="0"/>
        <v>-171.95857981053379</v>
      </c>
      <c r="M10" s="41">
        <f t="shared" si="0"/>
        <v>-248.29533609147802</v>
      </c>
      <c r="N10" s="41">
        <f t="shared" si="0"/>
        <v>16.864605062011996</v>
      </c>
      <c r="O10" s="41">
        <f t="shared" si="0"/>
        <v>131.75100000000003</v>
      </c>
      <c r="P10" s="41">
        <f t="shared" si="0"/>
        <v>-271.63831083999952</v>
      </c>
      <c r="Q10" s="41">
        <f t="shared" si="0"/>
        <v>-247.07699999999997</v>
      </c>
      <c r="R10" s="41">
        <f ca="1">SUM(R5:R9)</f>
        <v>717.39380265728096</v>
      </c>
      <c r="S10" s="41">
        <f t="shared" ref="S10:AD10" ca="1" si="1">SUM(S5:S9)</f>
        <v>13.811309498943587</v>
      </c>
      <c r="T10" s="41">
        <f t="shared" ca="1" si="1"/>
        <v>137.55316766905074</v>
      </c>
      <c r="U10" s="41">
        <f ca="1">SUM(Q10:T10)</f>
        <v>621.68127982527528</v>
      </c>
      <c r="V10" s="41">
        <f t="shared" ca="1" si="1"/>
        <v>510.24237299615328</v>
      </c>
      <c r="W10" s="41">
        <f t="shared" ca="1" si="1"/>
        <v>665.98688934641655</v>
      </c>
      <c r="X10" s="41">
        <f t="shared" ca="1" si="1"/>
        <v>840.94629278389175</v>
      </c>
      <c r="Y10" s="41">
        <f t="shared" ca="1" si="1"/>
        <v>986.81737460699208</v>
      </c>
      <c r="Z10" s="41">
        <f t="shared" ca="1" si="1"/>
        <v>1163.5112827166095</v>
      </c>
      <c r="AA10" s="41">
        <f t="shared" ca="1" si="1"/>
        <v>1364.5486212252395</v>
      </c>
      <c r="AB10" s="41">
        <f t="shared" ca="1" si="1"/>
        <v>1592.6857857487753</v>
      </c>
      <c r="AC10" s="41">
        <f t="shared" ca="1" si="1"/>
        <v>1851.001782821837</v>
      </c>
      <c r="AD10" s="41">
        <f t="shared" ca="1" si="1"/>
        <v>2146.757495767597</v>
      </c>
    </row>
    <row r="11" spans="1:30"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>
      <c r="B12" t="s">
        <v>97</v>
      </c>
      <c r="D12" s="54">
        <v>-238.452</v>
      </c>
      <c r="E12" s="54">
        <v>-190.191</v>
      </c>
      <c r="F12" s="54">
        <v>-204.803</v>
      </c>
      <c r="G12" s="54">
        <v>-20.547999999999998</v>
      </c>
      <c r="H12" s="54">
        <v>-21.059000000000001</v>
      </c>
      <c r="I12" s="54">
        <v>-36.471000000000004</v>
      </c>
      <c r="J12" s="54">
        <v>-110.36699999999999</v>
      </c>
      <c r="K12" s="15">
        <v>-188.44499999999999</v>
      </c>
      <c r="L12" s="54">
        <v>-47.985999999999997</v>
      </c>
      <c r="M12" s="54">
        <v>-60.429000000000009</v>
      </c>
      <c r="N12" s="54">
        <v>-130.25</v>
      </c>
      <c r="O12" s="54">
        <v>-61.513999999999982</v>
      </c>
      <c r="P12" s="15">
        <v>-300.17899999999997</v>
      </c>
      <c r="Q12" s="15">
        <v>-44.267000000000003</v>
      </c>
      <c r="R12" s="15">
        <f>S12</f>
        <v>-117.86724068155344</v>
      </c>
      <c r="S12" s="15">
        <f>T12</f>
        <v>-117.86724068155344</v>
      </c>
      <c r="T12" s="15">
        <f>(U12-Q12)/3</f>
        <v>-117.86724068155344</v>
      </c>
      <c r="U12" s="17">
        <f>-'Capex and D&amp;A'!Y54</f>
        <v>-397.86872204466033</v>
      </c>
      <c r="V12" s="17">
        <f>-'Capex and D&amp;A'!Z54</f>
        <v>-364.34963638781574</v>
      </c>
      <c r="W12" s="17">
        <f>-'Capex and D&amp;A'!AA54</f>
        <v>-332.00559198619248</v>
      </c>
      <c r="X12" s="17">
        <f>-'Capex and D&amp;A'!AB54</f>
        <v>-353.94218844287786</v>
      </c>
      <c r="Y12" s="17">
        <f>-'Capex and D&amp;A'!AC54</f>
        <v>-372.92088922885506</v>
      </c>
      <c r="Z12" s="17">
        <f>-'Capex and D&amp;A'!AD54</f>
        <v>-393.28408707715374</v>
      </c>
      <c r="AA12" s="17">
        <f>-'Capex and D&amp;A'!AE54</f>
        <v>-415.13924463937292</v>
      </c>
      <c r="AB12" s="17">
        <f>-'Capex and D&amp;A'!AF54</f>
        <v>-438.60236847561754</v>
      </c>
      <c r="AC12" s="17">
        <f>-'Capex and D&amp;A'!AG54</f>
        <v>-463.79869130055943</v>
      </c>
      <c r="AD12" s="17">
        <f>-'Capex and D&amp;A'!AH54</f>
        <v>-429.19674181860222</v>
      </c>
    </row>
    <row r="13" spans="1:30">
      <c r="B13" t="s">
        <v>99</v>
      </c>
      <c r="D13" s="48">
        <v>-4.6729999999999947</v>
      </c>
      <c r="E13" s="48">
        <v>-179.29399999999998</v>
      </c>
      <c r="F13" s="48">
        <v>-86.700999999999993</v>
      </c>
      <c r="G13" s="48">
        <v>0</v>
      </c>
      <c r="H13" s="48">
        <v>0</v>
      </c>
      <c r="I13" s="48">
        <v>-174.13200000000001</v>
      </c>
      <c r="J13" s="48">
        <v>-241.86799999999999</v>
      </c>
      <c r="K13" s="48">
        <v>-416</v>
      </c>
      <c r="L13" s="48">
        <v>-251.661</v>
      </c>
      <c r="M13" s="48">
        <v>-48.949999999999989</v>
      </c>
      <c r="N13" s="48">
        <v>-525.39300000000003</v>
      </c>
      <c r="O13" s="48">
        <v>-10.378999999999953</v>
      </c>
      <c r="P13" s="15">
        <v>-836.38300000000004</v>
      </c>
      <c r="Q13" s="15">
        <v>-8.25</v>
      </c>
      <c r="R13" s="17">
        <f>(BS!R27-BS!Q27)+(BS!R33-BS!Q33)</f>
        <v>-302.49599999999998</v>
      </c>
      <c r="S13" s="17">
        <f>(BS!S27-BS!R27)+(BS!S33-BS!R33)</f>
        <v>0</v>
      </c>
      <c r="T13" s="17">
        <f>(BS!T27-BS!S27)+(BS!T33-BS!S33)</f>
        <v>0</v>
      </c>
      <c r="U13" s="17">
        <f>SUM(Q13:T13)</f>
        <v>-310.74599999999998</v>
      </c>
      <c r="V13" s="17">
        <f>(BS!V27-BS!U27)+(BS!V33-BS!U33)</f>
        <v>-67.780999999999977</v>
      </c>
      <c r="W13" s="17">
        <f>(BS!W27-BS!V27)+(BS!W33-BS!V33)</f>
        <v>-137.46700000000001</v>
      </c>
      <c r="X13" s="17">
        <f>(BS!X27-BS!W27)+(BS!X33-BS!W33)</f>
        <v>-105.73650000000001</v>
      </c>
      <c r="Y13" s="17">
        <f>(BS!Y27-BS!X27)+(BS!Y33-BS!X33)</f>
        <v>-153.06650000000002</v>
      </c>
      <c r="Z13" s="17">
        <f>(BS!Z27-BS!Y27)+(BS!Z33-BS!Y33)</f>
        <v>-0.63899999999998158</v>
      </c>
      <c r="AA13" s="17">
        <f>(BS!AA27-BS!Z27)+(BS!AA33-BS!Z33)</f>
        <v>0</v>
      </c>
      <c r="AB13" s="17">
        <f>(BS!AB27-BS!AA27)+(BS!AB33-BS!AA33)</f>
        <v>0</v>
      </c>
      <c r="AC13" s="17">
        <f>(BS!AC27-BS!AB27)+(BS!AC33-BS!AB33)</f>
        <v>0</v>
      </c>
      <c r="AD13" s="17">
        <f>(BS!AD27-BS!AC27)+(BS!AD33-BS!AC33)</f>
        <v>0</v>
      </c>
    </row>
    <row r="14" spans="1:30">
      <c r="B14" t="s">
        <v>104</v>
      </c>
      <c r="D14" s="48">
        <v>3.8119999999999994</v>
      </c>
      <c r="E14" s="48">
        <v>4.3559999999999999</v>
      </c>
      <c r="F14" s="48">
        <v>-63.730999999999995</v>
      </c>
      <c r="G14" s="48">
        <v>46.469000000000001</v>
      </c>
      <c r="H14" s="48">
        <v>-3.6100000000000012</v>
      </c>
      <c r="I14" s="48">
        <v>-0.21299999999999386</v>
      </c>
      <c r="J14" s="48">
        <v>-1468.1120000000003</v>
      </c>
      <c r="K14" s="48">
        <v>-1425.4660000000001</v>
      </c>
      <c r="L14" s="48">
        <v>603.40400000000011</v>
      </c>
      <c r="M14" s="48">
        <v>388.56899999999996</v>
      </c>
      <c r="N14" s="48">
        <v>79.931000000000026</v>
      </c>
      <c r="O14" s="48">
        <v>-344.06399999999996</v>
      </c>
      <c r="P14" s="15">
        <v>727.84</v>
      </c>
      <c r="Q14" s="15">
        <v>475.98699999999997</v>
      </c>
      <c r="R14" s="15">
        <f>(BS!Q13-BS!R13)+(BS!Q17-BS!R17)</f>
        <v>-54.024082787393056</v>
      </c>
      <c r="S14" s="15">
        <f>(BS!R13-BS!S13)+(BS!R17-BS!S17)</f>
        <v>-10.122851988947801</v>
      </c>
      <c r="T14" s="15">
        <f>(BS!S13-BS!T13)+(BS!S17-BS!T17)</f>
        <v>-5.8909440981218779</v>
      </c>
      <c r="U14" s="15">
        <f>SUM(Q14:T14)</f>
        <v>405.9491211255372</v>
      </c>
      <c r="V14" s="15">
        <f>(BS!U13-BS!V13)+(BS!U17-BS!V17)</f>
        <v>-59.115159601920126</v>
      </c>
      <c r="W14" s="15">
        <f>(BS!V13-BS!W13)+(BS!V17-BS!W17)</f>
        <v>-52.507519488995172</v>
      </c>
      <c r="X14" s="15">
        <f>(BS!W13-BS!X13)+(BS!W17-BS!X17)</f>
        <v>-28.653143706426249</v>
      </c>
      <c r="Y14" s="15">
        <f>(BS!X13-BS!Y13)+(BS!X17-BS!Y17)</f>
        <v>-30.043168870997533</v>
      </c>
      <c r="Z14" s="15">
        <f>(BS!Y13-BS!Z13)+(BS!Y17-BS!Z17)</f>
        <v>-31.554127778935054</v>
      </c>
      <c r="AA14" s="15">
        <f>(BS!Z13-BS!AA13)+(BS!Z17-BS!AA17)</f>
        <v>-33.196189805396671</v>
      </c>
      <c r="AB14" s="15">
        <f>(BS!AA13-BS!AB13)+(BS!AA17-BS!AB17)</f>
        <v>-34.980359144321227</v>
      </c>
      <c r="AC14" s="15">
        <f>(BS!AB13-BS!AC13)+(BS!AB17-BS!AC17)</f>
        <v>-36.918542126411211</v>
      </c>
      <c r="AD14" s="15">
        <f>(BS!AC13-BS!AD13)+(BS!AC17-BS!AD17)</f>
        <v>-39.023619891387284</v>
      </c>
    </row>
    <row r="15" spans="1:30">
      <c r="B15" s="47" t="s">
        <v>87</v>
      </c>
      <c r="C15" s="47"/>
      <c r="D15" s="41">
        <f>SUM(D12:D14)</f>
        <v>-239.31299999999999</v>
      </c>
      <c r="E15" s="41">
        <f t="shared" ref="E15:Q15" si="2">SUM(E12:E14)</f>
        <v>-365.12900000000002</v>
      </c>
      <c r="F15" s="41">
        <f t="shared" si="2"/>
        <v>-355.23500000000001</v>
      </c>
      <c r="G15" s="41">
        <f t="shared" si="2"/>
        <v>25.921000000000003</v>
      </c>
      <c r="H15" s="41">
        <f t="shared" si="2"/>
        <v>-24.669000000000004</v>
      </c>
      <c r="I15" s="41">
        <f t="shared" si="2"/>
        <v>-210.816</v>
      </c>
      <c r="J15" s="41">
        <f t="shared" si="2"/>
        <v>-1820.3470000000002</v>
      </c>
      <c r="K15" s="41">
        <f t="shared" si="2"/>
        <v>-2029.9110000000001</v>
      </c>
      <c r="L15" s="41">
        <f t="shared" si="2"/>
        <v>303.75700000000012</v>
      </c>
      <c r="M15" s="41">
        <f t="shared" si="2"/>
        <v>279.18999999999994</v>
      </c>
      <c r="N15" s="41">
        <f t="shared" si="2"/>
        <v>-575.71199999999999</v>
      </c>
      <c r="O15" s="41">
        <f t="shared" si="2"/>
        <v>-415.95699999999988</v>
      </c>
      <c r="P15" s="41">
        <f t="shared" si="2"/>
        <v>-408.72199999999987</v>
      </c>
      <c r="Q15" s="41">
        <f t="shared" si="2"/>
        <v>423.46999999999997</v>
      </c>
      <c r="R15" s="41">
        <f>SUM(R12:R14)</f>
        <v>-474.38732346894648</v>
      </c>
      <c r="S15" s="41">
        <f t="shared" ref="S15:AD15" si="3">SUM(S12:S14)</f>
        <v>-127.99009267050124</v>
      </c>
      <c r="T15" s="41">
        <f t="shared" si="3"/>
        <v>-123.75818477967532</v>
      </c>
      <c r="U15" s="41">
        <f t="shared" si="3"/>
        <v>-302.66560091912311</v>
      </c>
      <c r="V15" s="41">
        <f t="shared" si="3"/>
        <v>-491.24579598973583</v>
      </c>
      <c r="W15" s="41">
        <f t="shared" si="3"/>
        <v>-521.98011147518764</v>
      </c>
      <c r="X15" s="41">
        <f t="shared" si="3"/>
        <v>-488.33183214930409</v>
      </c>
      <c r="Y15" s="41">
        <f t="shared" si="3"/>
        <v>-556.03055809985267</v>
      </c>
      <c r="Z15" s="41">
        <f t="shared" si="3"/>
        <v>-425.47721485608872</v>
      </c>
      <c r="AA15" s="41">
        <f t="shared" si="3"/>
        <v>-448.33543444476959</v>
      </c>
      <c r="AB15" s="41">
        <f t="shared" si="3"/>
        <v>-473.58272761993874</v>
      </c>
      <c r="AC15" s="41">
        <f t="shared" si="3"/>
        <v>-500.71723342697067</v>
      </c>
      <c r="AD15" s="41">
        <f t="shared" si="3"/>
        <v>-468.2203617099895</v>
      </c>
    </row>
    <row r="16" spans="1:30"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>
      <c r="B17" t="s">
        <v>98</v>
      </c>
      <c r="D17" s="15">
        <v>188.88400000000001</v>
      </c>
      <c r="E17" s="15">
        <v>306.30500000000001</v>
      </c>
      <c r="F17" s="15">
        <v>682.89599999999996</v>
      </c>
      <c r="G17" s="15">
        <v>2.6239999999999952</v>
      </c>
      <c r="H17" s="15">
        <v>-29.399000000000001</v>
      </c>
      <c r="I17" s="15">
        <v>-46.346000000000004</v>
      </c>
      <c r="J17" s="15">
        <v>751.94399999999985</v>
      </c>
      <c r="K17" s="17">
        <v>678.82299999999987</v>
      </c>
      <c r="L17" s="15">
        <v>-79.325999999999993</v>
      </c>
      <c r="M17" s="15">
        <v>-34.787000000000006</v>
      </c>
      <c r="N17" s="15">
        <v>340.13499999999999</v>
      </c>
      <c r="O17" s="15">
        <v>475.512</v>
      </c>
      <c r="P17" s="17">
        <v>701.53400000000011</v>
      </c>
      <c r="Q17" s="17">
        <v>344.34300000000002</v>
      </c>
      <c r="R17" s="17">
        <f>(BS!R24-BS!Q24)+(BS!R32-BS!Q32)</f>
        <v>0</v>
      </c>
      <c r="S17" s="17">
        <f>(BS!S24-BS!R24)+(BS!S32-BS!R32)</f>
        <v>0</v>
      </c>
      <c r="T17" s="17">
        <f>(BS!T24-BS!S24)+(BS!T32-BS!S32)</f>
        <v>0</v>
      </c>
      <c r="U17" s="17">
        <f t="shared" ref="U17:U22" si="4">SUM(Q17:T17)</f>
        <v>344.34300000000002</v>
      </c>
      <c r="V17" s="17">
        <f>(BS!V24-BS!U24)+(BS!V32-BS!U32)</f>
        <v>0</v>
      </c>
      <c r="W17" s="17">
        <f>(BS!W24-BS!V24)+(BS!W32-BS!V32)</f>
        <v>0</v>
      </c>
      <c r="X17" s="17">
        <f>(BS!X24-BS!W24)+(BS!X32-BS!W32)</f>
        <v>0</v>
      </c>
      <c r="Y17" s="17">
        <f>(BS!Y24-BS!X24)+(BS!Y32-BS!X32)</f>
        <v>0</v>
      </c>
      <c r="Z17" s="17">
        <f>(BS!Z24-BS!Y24)+(BS!Z32-BS!Y32)</f>
        <v>0</v>
      </c>
      <c r="AA17" s="17">
        <f>(BS!AA24-BS!Z24)+(BS!AA32-BS!Z32)</f>
        <v>0</v>
      </c>
      <c r="AB17" s="17">
        <f>(BS!AB24-BS!AA24)+(BS!AB32-BS!AA32)</f>
        <v>0</v>
      </c>
      <c r="AC17" s="17">
        <f>(BS!AC24-BS!AB24)+(BS!AC32-BS!AB32)</f>
        <v>0</v>
      </c>
      <c r="AD17" s="17">
        <f>(BS!AD24-BS!AC24)+(BS!AD32-BS!AC32)</f>
        <v>0</v>
      </c>
    </row>
    <row r="18" spans="1:30">
      <c r="B18" t="s">
        <v>89</v>
      </c>
      <c r="D18" s="15">
        <v>-18.443000000000001</v>
      </c>
      <c r="E18" s="15">
        <v>-22.765000000000001</v>
      </c>
      <c r="F18" s="15">
        <v>-45.216000000000001</v>
      </c>
      <c r="G18" s="15">
        <v>-1.8</v>
      </c>
      <c r="H18" s="15">
        <v>-3.4160000000000004</v>
      </c>
      <c r="I18" s="15">
        <v>-0.57899999999999974</v>
      </c>
      <c r="J18" s="15">
        <v>-20.602999999999998</v>
      </c>
      <c r="K18" s="17">
        <v>-26.398</v>
      </c>
      <c r="L18" s="15">
        <v>-2.569</v>
      </c>
      <c r="M18" s="15">
        <v>-2.7949999999999999</v>
      </c>
      <c r="N18" s="15">
        <v>-1.6959999999999997</v>
      </c>
      <c r="O18" s="15">
        <v>-11.231000000000002</v>
      </c>
      <c r="P18" s="17">
        <v>-18.291</v>
      </c>
      <c r="Q18" s="17">
        <v>-0.65900000000000003</v>
      </c>
      <c r="R18" s="17">
        <f ca="1">BS!R28-BS!Q28+IS!V33</f>
        <v>-46.432000000000002</v>
      </c>
      <c r="S18" s="17">
        <f ca="1">IS!W33</f>
        <v>0</v>
      </c>
      <c r="T18" s="17">
        <f ca="1">IS!X33</f>
        <v>0</v>
      </c>
      <c r="U18" s="17">
        <f t="shared" ca="1" si="4"/>
        <v>-47.091000000000001</v>
      </c>
      <c r="V18" s="17">
        <f ca="1">IS!Z33</f>
        <v>-35.274576814426517</v>
      </c>
      <c r="W18" s="17">
        <f ca="1">IS!AA33</f>
        <v>-51.527876400660709</v>
      </c>
      <c r="X18" s="17">
        <f ca="1">IS!AB33</f>
        <v>-64.54812392642792</v>
      </c>
      <c r="Y18" s="17">
        <f ca="1">IS!AC33</f>
        <v>-79.15251878146087</v>
      </c>
      <c r="Z18" s="17">
        <f ca="1">IS!AD33</f>
        <v>-96.847886419055328</v>
      </c>
      <c r="AA18" s="17">
        <f ca="1">IS!AE33</f>
        <v>-116.98548386201597</v>
      </c>
      <c r="AB18" s="17">
        <f ca="1">IS!AF33</f>
        <v>-139.84080742629158</v>
      </c>
      <c r="AC18" s="17">
        <f ca="1">IS!AG33</f>
        <v>-165.72220412185021</v>
      </c>
      <c r="AD18" s="17">
        <f ca="1">IS!AH33</f>
        <v>-195.35674135599197</v>
      </c>
    </row>
    <row r="19" spans="1:30">
      <c r="B19" t="s">
        <v>90</v>
      </c>
      <c r="D19" s="15">
        <v>0</v>
      </c>
      <c r="E19" s="15">
        <v>-25.236999999999998</v>
      </c>
      <c r="F19" s="15">
        <v>-31.824999999999999</v>
      </c>
      <c r="G19" s="15">
        <v>-5.9969999999999999</v>
      </c>
      <c r="H19" s="15">
        <v>-8.7989999999999995</v>
      </c>
      <c r="I19" s="15">
        <v>-6.6999999999999993</v>
      </c>
      <c r="J19" s="15">
        <v>-4.017000000000003</v>
      </c>
      <c r="K19" s="17">
        <v>-25.513000000000002</v>
      </c>
      <c r="L19" s="15">
        <v>-6.8849999999999998</v>
      </c>
      <c r="M19" s="15">
        <v>-51.103999999999999</v>
      </c>
      <c r="N19" s="15">
        <v>-13.285000000000004</v>
      </c>
      <c r="O19" s="15">
        <v>-12.704999999999998</v>
      </c>
      <c r="P19" s="17">
        <v>-83.978999999999999</v>
      </c>
      <c r="Q19" s="17">
        <v>-13.35</v>
      </c>
      <c r="R19" s="17">
        <f>(BS!R29-BS!Q29)+(BS!R34-BS!Q34)</f>
        <v>15.69604379562044</v>
      </c>
      <c r="S19" s="17">
        <f>(BS!S29-BS!R29)+(BS!S34-BS!R34)</f>
        <v>15.696043795620426</v>
      </c>
      <c r="T19" s="17">
        <f>(BS!T29-BS!S29)+(BS!T34-BS!S34)</f>
        <v>15.69604379562044</v>
      </c>
      <c r="U19" s="17">
        <f t="shared" si="4"/>
        <v>33.738131386861305</v>
      </c>
      <c r="V19" s="17">
        <f>(BS!V29-BS!U29)+(BS!V34-BS!U34)</f>
        <v>39.240109489051036</v>
      </c>
      <c r="W19" s="17">
        <f>(BS!W29-BS!V29)+(BS!W34-BS!V34)</f>
        <v>31.39208759124088</v>
      </c>
      <c r="X19" s="17">
        <f>(BS!X29-BS!W29)+(BS!X34-BS!W34)</f>
        <v>13.080036496350331</v>
      </c>
      <c r="Y19" s="17">
        <f>(BS!Y29-BS!X29)+(BS!Y34-BS!X34)</f>
        <v>13.080036496350417</v>
      </c>
      <c r="Z19" s="17">
        <f>(BS!Z29-BS!Y29)+(BS!Z34-BS!Y34)</f>
        <v>13.080036496350417</v>
      </c>
      <c r="AA19" s="17">
        <f>(BS!AA29-BS!Z29)+(BS!AA34-BS!Z34)</f>
        <v>13.080036496350345</v>
      </c>
      <c r="AB19" s="17">
        <f>(BS!AB29-BS!AA29)+(BS!AB34-BS!AA34)</f>
        <v>13.080036496350345</v>
      </c>
      <c r="AC19" s="17">
        <f>(BS!AC29-BS!AB29)+(BS!AC34-BS!AB34)</f>
        <v>13.080036496350417</v>
      </c>
      <c r="AD19" s="17">
        <f>(BS!AD29-BS!AC29)+(BS!AD34-BS!AC34)</f>
        <v>13.080036496350417</v>
      </c>
    </row>
    <row r="20" spans="1:30">
      <c r="B20" t="s">
        <v>91</v>
      </c>
      <c r="D20" s="15">
        <v>0</v>
      </c>
      <c r="E20" s="15">
        <v>9.7469999999999999</v>
      </c>
      <c r="F20" s="15">
        <v>6.1920000000000002</v>
      </c>
      <c r="G20" s="15">
        <v>0</v>
      </c>
      <c r="H20" s="15">
        <v>0</v>
      </c>
      <c r="I20" s="15">
        <v>1778.078</v>
      </c>
      <c r="J20" s="15">
        <v>9.8969999999999345</v>
      </c>
      <c r="K20" s="17">
        <v>1787.9749999999999</v>
      </c>
      <c r="L20" s="15">
        <v>0</v>
      </c>
      <c r="M20" s="15">
        <v>0</v>
      </c>
      <c r="N20" s="15">
        <v>0</v>
      </c>
      <c r="O20" s="15">
        <v>0</v>
      </c>
      <c r="P20" s="17">
        <v>0</v>
      </c>
      <c r="Q20" s="17">
        <v>3.1259999999999999</v>
      </c>
      <c r="R20" s="17">
        <f>0</f>
        <v>0</v>
      </c>
      <c r="S20" s="17">
        <f>0</f>
        <v>0</v>
      </c>
      <c r="T20" s="17">
        <f>0</f>
        <v>0</v>
      </c>
      <c r="U20" s="17">
        <f t="shared" si="4"/>
        <v>3.1259999999999999</v>
      </c>
      <c r="V20" s="17">
        <f>0</f>
        <v>0</v>
      </c>
      <c r="W20" s="17">
        <f>0</f>
        <v>0</v>
      </c>
      <c r="X20" s="17">
        <f>0</f>
        <v>0</v>
      </c>
      <c r="Y20" s="17">
        <f>0</f>
        <v>0</v>
      </c>
      <c r="Z20" s="17">
        <f>0</f>
        <v>0</v>
      </c>
      <c r="AA20" s="17">
        <f>0</f>
        <v>0</v>
      </c>
      <c r="AB20" s="17">
        <f>0</f>
        <v>0</v>
      </c>
      <c r="AC20" s="17">
        <f>0</f>
        <v>0</v>
      </c>
      <c r="AD20" s="17">
        <f>0</f>
        <v>0</v>
      </c>
    </row>
    <row r="21" spans="1:30">
      <c r="B21" t="s">
        <v>92</v>
      </c>
      <c r="D21" s="15">
        <v>0</v>
      </c>
      <c r="E21" s="15">
        <v>0</v>
      </c>
      <c r="F21" s="15">
        <v>0</v>
      </c>
      <c r="G21" s="15">
        <v>0</v>
      </c>
      <c r="H21" s="15">
        <v>-53.978999999999999</v>
      </c>
      <c r="I21" s="15">
        <v>-50.208000000000006</v>
      </c>
      <c r="J21" s="15">
        <v>-72.506000000000014</v>
      </c>
      <c r="K21" s="17">
        <v>-176.69300000000001</v>
      </c>
      <c r="L21" s="15">
        <v>0</v>
      </c>
      <c r="M21" s="15">
        <v>0</v>
      </c>
      <c r="N21" s="15">
        <v>-58.317</v>
      </c>
      <c r="O21" s="15">
        <v>-6.6999999999999957</v>
      </c>
      <c r="P21" s="17">
        <v>-65.016999999999996</v>
      </c>
      <c r="Q21" s="17">
        <v>-23.488</v>
      </c>
      <c r="R21" s="17">
        <f>0</f>
        <v>0</v>
      </c>
      <c r="S21" s="17">
        <f>0</f>
        <v>0</v>
      </c>
      <c r="T21" s="17">
        <f>0</f>
        <v>0</v>
      </c>
      <c r="U21" s="17">
        <f t="shared" si="4"/>
        <v>-23.488</v>
      </c>
      <c r="V21" s="17">
        <f>0</f>
        <v>0</v>
      </c>
      <c r="W21" s="17">
        <f>0</f>
        <v>0</v>
      </c>
      <c r="X21" s="17">
        <f>0</f>
        <v>0</v>
      </c>
      <c r="Y21" s="17">
        <f>0</f>
        <v>0</v>
      </c>
      <c r="Z21" s="17">
        <f>0</f>
        <v>0</v>
      </c>
      <c r="AA21" s="17">
        <f>0</f>
        <v>0</v>
      </c>
      <c r="AB21" s="17">
        <f>0</f>
        <v>0</v>
      </c>
      <c r="AC21" s="17">
        <f>0</f>
        <v>0</v>
      </c>
      <c r="AD21" s="17">
        <f>0</f>
        <v>0</v>
      </c>
    </row>
    <row r="22" spans="1:30">
      <c r="B22" t="s">
        <v>86</v>
      </c>
      <c r="D22" s="15">
        <v>139.672</v>
      </c>
      <c r="E22" s="15">
        <v>248.494</v>
      </c>
      <c r="F22" s="15">
        <v>-60.928999999999995</v>
      </c>
      <c r="G22" s="15">
        <v>-71.677999999999997</v>
      </c>
      <c r="H22" s="15">
        <v>-104.83199999999999</v>
      </c>
      <c r="I22" s="15">
        <v>-119.81099999999999</v>
      </c>
      <c r="J22" s="15">
        <v>-107.15500000000003</v>
      </c>
      <c r="K22" s="17">
        <v>-403.476</v>
      </c>
      <c r="L22" s="15">
        <v>-29.483000000000001</v>
      </c>
      <c r="M22" s="15">
        <v>9.0509999999999984</v>
      </c>
      <c r="N22" s="15">
        <v>-96.391999999999996</v>
      </c>
      <c r="O22" s="15">
        <v>-10.34</v>
      </c>
      <c r="P22" s="17">
        <v>-127.164</v>
      </c>
      <c r="Q22" s="17">
        <v>-339.99299999999999</v>
      </c>
      <c r="R22" s="17">
        <f>0</f>
        <v>0</v>
      </c>
      <c r="S22" s="17">
        <f>0</f>
        <v>0</v>
      </c>
      <c r="T22" s="17">
        <f>0</f>
        <v>0</v>
      </c>
      <c r="U22" s="17">
        <f t="shared" si="4"/>
        <v>-339.99299999999999</v>
      </c>
      <c r="V22" s="17">
        <f>0</f>
        <v>0</v>
      </c>
      <c r="W22" s="17">
        <f>0</f>
        <v>0</v>
      </c>
      <c r="X22" s="17">
        <f>0</f>
        <v>0</v>
      </c>
      <c r="Y22" s="17">
        <f>0</f>
        <v>0</v>
      </c>
      <c r="Z22" s="17">
        <f>0</f>
        <v>0</v>
      </c>
      <c r="AA22" s="17">
        <f>0</f>
        <v>0</v>
      </c>
      <c r="AB22" s="17">
        <f>0</f>
        <v>0</v>
      </c>
      <c r="AC22" s="17">
        <f>0</f>
        <v>0</v>
      </c>
      <c r="AD22" s="17">
        <f>0</f>
        <v>0</v>
      </c>
    </row>
    <row r="23" spans="1:30"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spans="1:30">
      <c r="B24" s="47" t="s">
        <v>88</v>
      </c>
      <c r="C24" s="47"/>
      <c r="D24" s="41">
        <f>SUM(D17:D22)</f>
        <v>310.113</v>
      </c>
      <c r="E24" s="41">
        <f t="shared" ref="E24:P24" si="5">SUM(E17:E22)</f>
        <v>516.54399999999998</v>
      </c>
      <c r="F24" s="41">
        <f t="shared" si="5"/>
        <v>551.11799999999994</v>
      </c>
      <c r="G24" s="41">
        <f t="shared" si="5"/>
        <v>-76.850999999999999</v>
      </c>
      <c r="H24" s="41">
        <f t="shared" si="5"/>
        <v>-200.42499999999998</v>
      </c>
      <c r="I24" s="41">
        <f t="shared" si="5"/>
        <v>1554.434</v>
      </c>
      <c r="J24" s="41">
        <f t="shared" si="5"/>
        <v>557.55999999999972</v>
      </c>
      <c r="K24" s="41">
        <f t="shared" si="5"/>
        <v>1834.7179999999994</v>
      </c>
      <c r="L24" s="41">
        <f t="shared" si="5"/>
        <v>-118.26300000000001</v>
      </c>
      <c r="M24" s="41">
        <f t="shared" si="5"/>
        <v>-79.635000000000005</v>
      </c>
      <c r="N24" s="41">
        <f t="shared" si="5"/>
        <v>170.44499999999994</v>
      </c>
      <c r="O24" s="41">
        <f t="shared" si="5"/>
        <v>434.53600000000006</v>
      </c>
      <c r="P24" s="41">
        <f t="shared" si="5"/>
        <v>407.08300000000008</v>
      </c>
      <c r="Q24" s="41">
        <v>-30.021000000000001</v>
      </c>
      <c r="R24" s="41">
        <f ca="1">SUM(R17:R22)</f>
        <v>-30.735956204379562</v>
      </c>
      <c r="S24" s="41">
        <f t="shared" ref="S24:AD24" ca="1" si="6">SUM(S17:S22)</f>
        <v>15.696043795620426</v>
      </c>
      <c r="T24" s="41">
        <f t="shared" ca="1" si="6"/>
        <v>15.69604379562044</v>
      </c>
      <c r="U24" s="41">
        <f t="shared" ca="1" si="6"/>
        <v>-29.364868613138697</v>
      </c>
      <c r="V24" s="41">
        <f t="shared" ca="1" si="6"/>
        <v>3.9655326746245194</v>
      </c>
      <c r="W24" s="41">
        <f t="shared" ca="1" si="6"/>
        <v>-20.135788809419829</v>
      </c>
      <c r="X24" s="41">
        <f t="shared" ca="1" si="6"/>
        <v>-51.468087430077588</v>
      </c>
      <c r="Y24" s="41">
        <f t="shared" ca="1" si="6"/>
        <v>-66.072482285110453</v>
      </c>
      <c r="Z24" s="41">
        <f t="shared" ca="1" si="6"/>
        <v>-83.767849922704912</v>
      </c>
      <c r="AA24" s="41">
        <f t="shared" ca="1" si="6"/>
        <v>-103.90544736566562</v>
      </c>
      <c r="AB24" s="41">
        <f t="shared" ca="1" si="6"/>
        <v>-126.76077092994123</v>
      </c>
      <c r="AC24" s="41">
        <f t="shared" ca="1" si="6"/>
        <v>-152.64216762549978</v>
      </c>
      <c r="AD24" s="41">
        <f t="shared" ca="1" si="6"/>
        <v>-182.27670485964154</v>
      </c>
    </row>
    <row r="25" spans="1:30"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spans="1:30">
      <c r="B26" s="70" t="s">
        <v>105</v>
      </c>
      <c r="C26" s="41"/>
      <c r="D26" s="69">
        <v>0</v>
      </c>
      <c r="E26" s="69">
        <v>0</v>
      </c>
      <c r="F26" s="69">
        <v>0</v>
      </c>
      <c r="G26" s="69">
        <v>0</v>
      </c>
      <c r="H26" s="69">
        <v>0</v>
      </c>
      <c r="I26" s="69">
        <v>0.14099999999999999</v>
      </c>
      <c r="J26" s="69">
        <v>0.38500000000000001</v>
      </c>
      <c r="K26" s="69">
        <v>0.52600000000000002</v>
      </c>
      <c r="L26" s="69">
        <v>-0.42299999999999999</v>
      </c>
      <c r="M26" s="69">
        <v>-5.5999999999999994E-2</v>
      </c>
      <c r="N26" s="69">
        <v>0.21999999999999997</v>
      </c>
      <c r="O26" s="69">
        <v>-8.7999999999999967E-2</v>
      </c>
      <c r="P26" s="69">
        <v>-0.34699999999999998</v>
      </c>
      <c r="Q26" s="69">
        <v>-0.154</v>
      </c>
      <c r="R26" s="69">
        <f>0</f>
        <v>0</v>
      </c>
      <c r="S26" s="69">
        <f>0</f>
        <v>0</v>
      </c>
      <c r="T26" s="69">
        <f>0</f>
        <v>0</v>
      </c>
      <c r="U26" s="69">
        <f>SUM(Q26:T26)</f>
        <v>-0.154</v>
      </c>
      <c r="V26" s="69">
        <f>0</f>
        <v>0</v>
      </c>
      <c r="W26" s="69">
        <f>0</f>
        <v>0</v>
      </c>
      <c r="X26" s="69">
        <f>0</f>
        <v>0</v>
      </c>
      <c r="Y26" s="69">
        <f>0</f>
        <v>0</v>
      </c>
      <c r="Z26" s="69">
        <f>0</f>
        <v>0</v>
      </c>
      <c r="AA26" s="69">
        <f>0</f>
        <v>0</v>
      </c>
      <c r="AB26" s="69">
        <f>0</f>
        <v>0</v>
      </c>
      <c r="AC26" s="69">
        <f>0</f>
        <v>0</v>
      </c>
      <c r="AD26" s="69">
        <f>0</f>
        <v>0</v>
      </c>
    </row>
    <row r="27" spans="1:30">
      <c r="B27" s="71"/>
      <c r="C27" s="16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r="29" spans="1:30">
      <c r="A29" s="72" t="s">
        <v>106</v>
      </c>
      <c r="B29" s="72" t="s">
        <v>107</v>
      </c>
      <c r="C29" s="26"/>
      <c r="D29" s="26">
        <v>0</v>
      </c>
      <c r="E29" s="26">
        <v>0</v>
      </c>
      <c r="F29" s="26">
        <v>46.206000000000003</v>
      </c>
      <c r="G29" s="26">
        <v>0</v>
      </c>
      <c r="H29" s="26">
        <v>0</v>
      </c>
      <c r="I29" s="26">
        <v>0</v>
      </c>
      <c r="J29" s="26">
        <v>1477.914</v>
      </c>
      <c r="K29" s="26">
        <f>J29</f>
        <v>1477.914</v>
      </c>
      <c r="L29" s="26">
        <v>932.83</v>
      </c>
      <c r="M29" s="26">
        <v>560.673</v>
      </c>
      <c r="N29" s="26">
        <v>478.44200000000001</v>
      </c>
      <c r="O29" s="26">
        <v>829.59400000000005</v>
      </c>
      <c r="P29" s="26">
        <f>O29</f>
        <v>829.59400000000005</v>
      </c>
      <c r="Q29" s="26">
        <v>360.85700000000003</v>
      </c>
      <c r="R29" s="314">
        <f>Q29</f>
        <v>360.85700000000003</v>
      </c>
      <c r="S29" s="314">
        <f t="shared" ref="S29:AD29" si="7">R29</f>
        <v>360.85700000000003</v>
      </c>
      <c r="T29" s="314">
        <f t="shared" si="7"/>
        <v>360.85700000000003</v>
      </c>
      <c r="U29" s="314">
        <f t="shared" si="7"/>
        <v>360.85700000000003</v>
      </c>
      <c r="V29" s="314">
        <f t="shared" si="7"/>
        <v>360.85700000000003</v>
      </c>
      <c r="W29" s="314">
        <f t="shared" si="7"/>
        <v>360.85700000000003</v>
      </c>
      <c r="X29" s="314">
        <f t="shared" si="7"/>
        <v>360.85700000000003</v>
      </c>
      <c r="Y29" s="314">
        <f t="shared" si="7"/>
        <v>360.85700000000003</v>
      </c>
      <c r="Z29" s="314">
        <f t="shared" si="7"/>
        <v>360.85700000000003</v>
      </c>
      <c r="AA29" s="314">
        <f t="shared" si="7"/>
        <v>360.85700000000003</v>
      </c>
      <c r="AB29" s="314">
        <f t="shared" si="7"/>
        <v>360.85700000000003</v>
      </c>
      <c r="AC29" s="314">
        <f t="shared" si="7"/>
        <v>360.85700000000003</v>
      </c>
      <c r="AD29" s="314">
        <f t="shared" si="7"/>
        <v>360.85700000000003</v>
      </c>
    </row>
    <row r="30" spans="1:30" s="11" customFormat="1"/>
    <row r="32" spans="1:30">
      <c r="B32" s="25" t="s">
        <v>93</v>
      </c>
      <c r="C32" s="25"/>
      <c r="D32" s="26">
        <f>D10+D15+D24+D26</f>
        <v>109.65900000000008</v>
      </c>
      <c r="E32" s="26">
        <f t="shared" ref="E32:AD32" si="8">E10+E15+E24+E26</f>
        <v>248.48999999999995</v>
      </c>
      <c r="F32" s="26">
        <f t="shared" si="8"/>
        <v>293.44099999999986</v>
      </c>
      <c r="G32" s="26">
        <f t="shared" si="8"/>
        <v>-47.390585369999954</v>
      </c>
      <c r="H32" s="26">
        <f t="shared" si="8"/>
        <v>-334.69988556999999</v>
      </c>
      <c r="I32" s="26">
        <f t="shared" si="8"/>
        <v>1414.695581147867</v>
      </c>
      <c r="J32" s="26">
        <f t="shared" si="8"/>
        <v>-1236.5666681417097</v>
      </c>
      <c r="K32" s="26">
        <f t="shared" si="8"/>
        <v>-203.96155793384315</v>
      </c>
      <c r="L32" s="26">
        <f t="shared" si="8"/>
        <v>13.112420189466322</v>
      </c>
      <c r="M32" s="26">
        <f t="shared" si="8"/>
        <v>-48.796336091478082</v>
      </c>
      <c r="N32" s="26">
        <f t="shared" si="8"/>
        <v>-388.18239493798808</v>
      </c>
      <c r="O32" s="26">
        <f t="shared" si="8"/>
        <v>150.24200000000022</v>
      </c>
      <c r="P32" s="26">
        <f t="shared" si="8"/>
        <v>-273.62431083999923</v>
      </c>
      <c r="Q32" s="26">
        <f t="shared" si="8"/>
        <v>146.21800000000002</v>
      </c>
      <c r="R32" s="26">
        <f t="shared" ca="1" si="8"/>
        <v>212.27052298395492</v>
      </c>
      <c r="S32" s="26">
        <f t="shared" ca="1" si="8"/>
        <v>-98.482739375937228</v>
      </c>
      <c r="T32" s="26">
        <f t="shared" ca="1" si="8"/>
        <v>29.491026684995859</v>
      </c>
      <c r="U32" s="26">
        <f t="shared" ca="1" si="8"/>
        <v>289.49681029301348</v>
      </c>
      <c r="V32" s="26">
        <f t="shared" ca="1" si="8"/>
        <v>22.962109681041973</v>
      </c>
      <c r="W32" s="26">
        <f t="shared" ca="1" si="8"/>
        <v>123.87098906180907</v>
      </c>
      <c r="X32" s="26">
        <f t="shared" ca="1" si="8"/>
        <v>301.14637320451004</v>
      </c>
      <c r="Y32" s="26">
        <f t="shared" ca="1" si="8"/>
        <v>364.71433422202892</v>
      </c>
      <c r="Z32" s="26">
        <f t="shared" ca="1" si="8"/>
        <v>654.26621793781578</v>
      </c>
      <c r="AA32" s="26">
        <f t="shared" ca="1" si="8"/>
        <v>812.30773941480425</v>
      </c>
      <c r="AB32" s="26">
        <f t="shared" ca="1" si="8"/>
        <v>992.34228719889518</v>
      </c>
      <c r="AC32" s="26">
        <f t="shared" ca="1" si="8"/>
        <v>1197.6423817693665</v>
      </c>
      <c r="AD32" s="26">
        <f t="shared" ca="1" si="8"/>
        <v>1496.260429197966</v>
      </c>
    </row>
    <row r="33" spans="2:30">
      <c r="B33" s="29" t="s">
        <v>108</v>
      </c>
      <c r="D33" s="17"/>
      <c r="E33" s="17">
        <f>D34</f>
        <v>198.85599999999999</v>
      </c>
      <c r="F33" s="17">
        <f t="shared" ref="F33:Q33" si="9">E34</f>
        <v>447.34599999999995</v>
      </c>
      <c r="G33" s="17">
        <f t="shared" si="9"/>
        <v>740.78699999999981</v>
      </c>
      <c r="H33" s="17">
        <f t="shared" si="9"/>
        <v>693.39641462999987</v>
      </c>
      <c r="I33" s="17">
        <f t="shared" si="9"/>
        <v>358.69652905999988</v>
      </c>
      <c r="J33" s="17">
        <f t="shared" si="9"/>
        <v>1773.3921102078668</v>
      </c>
      <c r="K33" s="17">
        <f>F34</f>
        <v>740.78699999999981</v>
      </c>
      <c r="L33" s="17">
        <f t="shared" si="9"/>
        <v>536.82544206615671</v>
      </c>
      <c r="M33" s="17">
        <f t="shared" si="9"/>
        <v>549.93786225562303</v>
      </c>
      <c r="N33" s="17">
        <f t="shared" si="9"/>
        <v>501.14152616414492</v>
      </c>
      <c r="O33" s="17">
        <f t="shared" si="9"/>
        <v>112.95913122615684</v>
      </c>
      <c r="P33" s="17">
        <f>K34</f>
        <v>536.82544206615671</v>
      </c>
      <c r="Q33" s="17">
        <f t="shared" si="9"/>
        <v>263.20113122615749</v>
      </c>
      <c r="R33" s="17">
        <f>Q34</f>
        <v>409.4191312261575</v>
      </c>
      <c r="S33" s="17">
        <f ca="1">R34</f>
        <v>621.68965421011239</v>
      </c>
      <c r="T33" s="17">
        <f ca="1">S34</f>
        <v>523.20691483417522</v>
      </c>
      <c r="U33" s="17">
        <f>P34</f>
        <v>263.20113122615749</v>
      </c>
      <c r="V33" s="17">
        <f ca="1">U34</f>
        <v>552.69794151917097</v>
      </c>
      <c r="W33" s="17">
        <f t="shared" ref="W33:AD33" ca="1" si="10">V34</f>
        <v>575.66005120021293</v>
      </c>
      <c r="X33" s="17">
        <f t="shared" ca="1" si="10"/>
        <v>699.53104026202197</v>
      </c>
      <c r="Y33" s="17">
        <f t="shared" ca="1" si="10"/>
        <v>1000.677413466532</v>
      </c>
      <c r="Z33" s="17">
        <f t="shared" ca="1" si="10"/>
        <v>1365.3917476885608</v>
      </c>
      <c r="AA33" s="17">
        <f t="shared" ca="1" si="10"/>
        <v>2019.6579656263766</v>
      </c>
      <c r="AB33" s="17">
        <f t="shared" ca="1" si="10"/>
        <v>2831.9657050411806</v>
      </c>
      <c r="AC33" s="17">
        <f t="shared" ca="1" si="10"/>
        <v>3824.3079922400757</v>
      </c>
      <c r="AD33" s="17">
        <f t="shared" ca="1" si="10"/>
        <v>5021.9503740094424</v>
      </c>
    </row>
    <row r="34" spans="2:30">
      <c r="B34" s="29" t="s">
        <v>109</v>
      </c>
      <c r="D34" s="15">
        <f>BS!D7</f>
        <v>198.85599999999999</v>
      </c>
      <c r="E34" s="17">
        <f>E33+E32</f>
        <v>447.34599999999995</v>
      </c>
      <c r="F34" s="17">
        <f t="shared" ref="F34:Q34" si="11">F33+F32</f>
        <v>740.78699999999981</v>
      </c>
      <c r="G34" s="17">
        <f t="shared" si="11"/>
        <v>693.39641462999987</v>
      </c>
      <c r="H34" s="17">
        <f t="shared" si="11"/>
        <v>358.69652905999988</v>
      </c>
      <c r="I34" s="17">
        <f t="shared" si="11"/>
        <v>1773.3921102078668</v>
      </c>
      <c r="J34" s="17">
        <f t="shared" si="11"/>
        <v>536.82544206615717</v>
      </c>
      <c r="K34" s="17">
        <f t="shared" si="11"/>
        <v>536.82544206615671</v>
      </c>
      <c r="L34" s="17">
        <f t="shared" si="11"/>
        <v>549.93786225562303</v>
      </c>
      <c r="M34" s="17">
        <f t="shared" si="11"/>
        <v>501.14152616414492</v>
      </c>
      <c r="N34" s="17">
        <f t="shared" si="11"/>
        <v>112.95913122615684</v>
      </c>
      <c r="O34" s="17">
        <f t="shared" si="11"/>
        <v>263.20113122615703</v>
      </c>
      <c r="P34" s="17">
        <f t="shared" si="11"/>
        <v>263.20113122615749</v>
      </c>
      <c r="Q34" s="17">
        <f t="shared" si="11"/>
        <v>409.4191312261575</v>
      </c>
      <c r="R34" s="17">
        <f ca="1">R33+R32</f>
        <v>621.68965421011239</v>
      </c>
      <c r="S34" s="17">
        <f ca="1">S33+S32</f>
        <v>523.20691483417522</v>
      </c>
      <c r="T34" s="17">
        <f ca="1">T33+T32</f>
        <v>552.69794151917108</v>
      </c>
      <c r="U34" s="17">
        <f ca="1">U33+U32</f>
        <v>552.69794151917097</v>
      </c>
      <c r="V34" s="17">
        <f ca="1">V33+V32</f>
        <v>575.66005120021293</v>
      </c>
      <c r="W34" s="17">
        <f t="shared" ref="W34:AD34" ca="1" si="12">W33+W32</f>
        <v>699.53104026202197</v>
      </c>
      <c r="X34" s="17">
        <f t="shared" ca="1" si="12"/>
        <v>1000.677413466532</v>
      </c>
      <c r="Y34" s="17">
        <f t="shared" ca="1" si="12"/>
        <v>1365.3917476885608</v>
      </c>
      <c r="Z34" s="17">
        <f t="shared" ca="1" si="12"/>
        <v>2019.6579656263766</v>
      </c>
      <c r="AA34" s="17">
        <f t="shared" ca="1" si="12"/>
        <v>2831.9657050411806</v>
      </c>
      <c r="AB34" s="17">
        <f t="shared" ca="1" si="12"/>
        <v>3824.3079922400757</v>
      </c>
      <c r="AC34" s="17">
        <f t="shared" ca="1" si="12"/>
        <v>5021.9503740094424</v>
      </c>
      <c r="AD34" s="17">
        <f t="shared" ca="1" si="12"/>
        <v>6518.2108032074084</v>
      </c>
    </row>
    <row r="35" spans="2:30"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2:30">
      <c r="B36" t="s">
        <v>94</v>
      </c>
      <c r="D36" s="17">
        <f>D34+D29</f>
        <v>198.85599999999999</v>
      </c>
      <c r="E36" s="17">
        <f t="shared" ref="E36:Q36" si="13">E34+E29</f>
        <v>447.34599999999995</v>
      </c>
      <c r="F36" s="17">
        <f t="shared" si="13"/>
        <v>786.99299999999982</v>
      </c>
      <c r="G36" s="17">
        <f t="shared" si="13"/>
        <v>693.39641462999987</v>
      </c>
      <c r="H36" s="17">
        <f t="shared" si="13"/>
        <v>358.69652905999988</v>
      </c>
      <c r="I36" s="17">
        <f t="shared" si="13"/>
        <v>1773.3921102078668</v>
      </c>
      <c r="J36" s="17">
        <f t="shared" si="13"/>
        <v>2014.7394420661572</v>
      </c>
      <c r="K36" s="17">
        <f t="shared" si="13"/>
        <v>2014.7394420661567</v>
      </c>
      <c r="L36" s="17">
        <f t="shared" si="13"/>
        <v>1482.7678622556232</v>
      </c>
      <c r="M36" s="17">
        <f t="shared" si="13"/>
        <v>1061.8145261641448</v>
      </c>
      <c r="N36" s="17">
        <f t="shared" si="13"/>
        <v>591.40113122615685</v>
      </c>
      <c r="O36" s="17">
        <f t="shared" si="13"/>
        <v>1092.7951312261571</v>
      </c>
      <c r="P36" s="17">
        <f t="shared" si="13"/>
        <v>1092.7951312261575</v>
      </c>
      <c r="Q36" s="17">
        <f t="shared" si="13"/>
        <v>770.27613122615753</v>
      </c>
      <c r="R36" s="17">
        <f ca="1">R34+R29</f>
        <v>982.54665421011237</v>
      </c>
      <c r="S36" s="17">
        <f t="shared" ref="S36:AC36" ca="1" si="14">S34+S29</f>
        <v>884.06391483417519</v>
      </c>
      <c r="T36" s="17">
        <f t="shared" ca="1" si="14"/>
        <v>913.55494151917105</v>
      </c>
      <c r="U36" s="17">
        <f t="shared" ca="1" si="14"/>
        <v>913.55494151917105</v>
      </c>
      <c r="V36" s="17">
        <f t="shared" ca="1" si="14"/>
        <v>936.51705120021302</v>
      </c>
      <c r="W36" s="17">
        <f t="shared" ca="1" si="14"/>
        <v>1060.3880402620221</v>
      </c>
      <c r="X36" s="17">
        <f t="shared" ca="1" si="14"/>
        <v>1361.534413466532</v>
      </c>
      <c r="Y36" s="17">
        <f t="shared" ca="1" si="14"/>
        <v>1726.2487476885608</v>
      </c>
      <c r="Z36" s="17">
        <f t="shared" ca="1" si="14"/>
        <v>2380.5149656263766</v>
      </c>
      <c r="AA36" s="17">
        <f t="shared" ca="1" si="14"/>
        <v>3192.8227050411806</v>
      </c>
      <c r="AB36" s="17">
        <f t="shared" ca="1" si="14"/>
        <v>4185.1649922400757</v>
      </c>
      <c r="AC36" s="17">
        <f t="shared" ca="1" si="14"/>
        <v>5382.8073740094424</v>
      </c>
      <c r="AD36" s="17">
        <f ca="1">AD34+AD29</f>
        <v>6879.0678032074084</v>
      </c>
    </row>
    <row r="37" spans="2:30"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2:30"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2:30"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2:30"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2:30"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2:30"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2:30"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2:30"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spans="2:30"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spans="2:30"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spans="2:30"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 spans="2:30"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 spans="4:30"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 spans="4:30"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 spans="4:30"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spans="4:30"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spans="4:30"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spans="4:30"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4:30"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 spans="4:30"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 spans="4:30"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4:30"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 spans="4:30"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4:30"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4:30"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spans="4:30"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 spans="4:30"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 spans="4:30"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spans="4:30"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 spans="4:30"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 spans="4:30"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spans="4:30"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r="69" spans="4:30"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</row>
    <row r="70" spans="4:30"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</row>
    <row r="71" spans="4:30"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</row>
    <row r="72" spans="4:30"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4:30"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 spans="4:30"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</row>
    <row r="75" spans="4:30"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r="76" spans="4:30"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 spans="4:30"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 spans="4:30"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 spans="4:30"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 spans="4:30"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 spans="4:30"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 spans="4:30"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</row>
    <row r="83" spans="4:30"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 spans="4:30"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 spans="4:30"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 spans="4:30"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</row>
    <row r="87" spans="4:30"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 spans="4:30"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r="89" spans="4:30"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 spans="4:30"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r="91" spans="4:30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 spans="4:30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 spans="4:30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 spans="4:30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 spans="4:30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EB66-26DA-4B8F-9E96-35DBE312CD2C}">
  <dimension ref="A1:AH57"/>
  <sheetViews>
    <sheetView showGridLines="0" zoomScaleNormal="100" workbookViewId="0">
      <pane xSplit="3" ySplit="4" topLeftCell="E22" activePane="bottomRight" state="frozen"/>
      <selection pane="topRight" activeCell="D1" sqref="D1"/>
      <selection pane="bottomLeft" activeCell="A5" sqref="A5"/>
      <selection pane="bottomRight" activeCell="W13" sqref="W13:AH13"/>
    </sheetView>
  </sheetViews>
  <sheetFormatPr defaultRowHeight="14.4" outlineLevelCol="1"/>
  <cols>
    <col min="1" max="1" width="2.109375" customWidth="1"/>
    <col min="2" max="2" width="46.6640625" customWidth="1"/>
    <col min="3" max="3" width="11.109375" customWidth="1"/>
    <col min="6" max="9" width="9.109375" hidden="1" customWidth="1" outlineLevel="1"/>
    <col min="10" max="10" width="9.109375" collapsed="1"/>
    <col min="11" max="14" width="9.109375" hidden="1" customWidth="1" outlineLevel="1"/>
    <col min="15" max="15" width="9.109375" collapsed="1"/>
    <col min="16" max="19" width="9.109375" hidden="1" customWidth="1" outlineLevel="1"/>
    <col min="20" max="20" width="9.109375" collapsed="1"/>
    <col min="21" max="24" width="9.109375" customWidth="1" outlineLevel="1"/>
    <col min="25" max="25" width="9.109375" customWidth="1"/>
  </cols>
  <sheetData>
    <row r="1" spans="1:34" ht="20.399999999999999" thickBot="1">
      <c r="T1" s="5"/>
      <c r="U1" s="5"/>
      <c r="V1" s="5"/>
      <c r="W1" s="5"/>
      <c r="X1" s="5"/>
      <c r="Z1" s="305" t="s">
        <v>395</v>
      </c>
      <c r="AA1" s="303"/>
      <c r="AB1" s="303"/>
      <c r="AC1" s="303"/>
      <c r="AD1" s="303"/>
      <c r="AE1" s="304"/>
      <c r="AF1" s="308"/>
    </row>
    <row r="2" spans="1:34" ht="20.399999999999999" thickBot="1">
      <c r="T2" s="5"/>
      <c r="U2" s="5"/>
      <c r="V2" s="5"/>
      <c r="W2" s="5"/>
      <c r="X2" s="5"/>
      <c r="Z2" s="309" t="s">
        <v>396</v>
      </c>
      <c r="AA2" s="306"/>
      <c r="AB2" s="306"/>
      <c r="AC2" s="306"/>
      <c r="AD2" s="306"/>
      <c r="AE2" s="306"/>
      <c r="AF2" s="307"/>
    </row>
    <row r="3" spans="1:34">
      <c r="T3" s="5"/>
      <c r="U3" s="5"/>
      <c r="V3" s="5"/>
      <c r="W3" s="291"/>
      <c r="X3" s="291"/>
      <c r="Y3" s="250"/>
    </row>
    <row r="4" spans="1:34">
      <c r="A4" s="7"/>
      <c r="B4" s="30" t="s">
        <v>339</v>
      </c>
      <c r="C4" s="2" t="s">
        <v>16</v>
      </c>
      <c r="D4" s="6">
        <v>2018</v>
      </c>
      <c r="E4" s="6">
        <v>2019</v>
      </c>
      <c r="F4" s="8" t="s">
        <v>0</v>
      </c>
      <c r="G4" s="8" t="s">
        <v>1</v>
      </c>
      <c r="H4" s="8" t="s">
        <v>2</v>
      </c>
      <c r="I4" s="8" t="s">
        <v>3</v>
      </c>
      <c r="J4" s="6">
        <v>2020</v>
      </c>
      <c r="K4" s="8" t="s">
        <v>4</v>
      </c>
      <c r="L4" s="8" t="s">
        <v>5</v>
      </c>
      <c r="M4" s="8" t="s">
        <v>6</v>
      </c>
      <c r="N4" s="8" t="s">
        <v>7</v>
      </c>
      <c r="O4" s="6">
        <v>2021</v>
      </c>
      <c r="P4" s="8" t="s">
        <v>8</v>
      </c>
      <c r="Q4" s="8" t="s">
        <v>9</v>
      </c>
      <c r="R4" s="8" t="s">
        <v>10</v>
      </c>
      <c r="S4" s="8" t="s">
        <v>11</v>
      </c>
      <c r="T4" s="6">
        <v>2022</v>
      </c>
      <c r="U4" s="64" t="s">
        <v>100</v>
      </c>
      <c r="V4" s="63" t="s">
        <v>101</v>
      </c>
      <c r="W4" s="63" t="s">
        <v>102</v>
      </c>
      <c r="X4" s="63" t="s">
        <v>103</v>
      </c>
      <c r="Y4" s="37">
        <v>2023</v>
      </c>
      <c r="Z4" s="37">
        <v>2024</v>
      </c>
      <c r="AA4" s="37">
        <v>2025</v>
      </c>
      <c r="AB4" s="37">
        <v>2026</v>
      </c>
      <c r="AC4" s="37">
        <v>2027</v>
      </c>
      <c r="AD4" s="37">
        <v>2028</v>
      </c>
      <c r="AE4" s="37">
        <v>2029</v>
      </c>
      <c r="AF4" s="37">
        <v>2030</v>
      </c>
      <c r="AG4" s="37">
        <v>2031</v>
      </c>
      <c r="AH4" s="37">
        <v>2032</v>
      </c>
    </row>
    <row r="5" spans="1:34" s="274" customFormat="1">
      <c r="B5" s="274" t="s">
        <v>371</v>
      </c>
      <c r="C5" s="276" t="s">
        <v>16</v>
      </c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  <c r="S5" s="275"/>
      <c r="T5" s="275"/>
      <c r="U5" s="275">
        <v>31</v>
      </c>
      <c r="V5" s="275">
        <f>W5</f>
        <v>88.076177683686794</v>
      </c>
      <c r="W5" s="275">
        <f>X5</f>
        <v>88.076177683686794</v>
      </c>
      <c r="X5" s="275">
        <f>(Y5-U5)/3</f>
        <v>88.076177683686794</v>
      </c>
      <c r="Y5" s="275">
        <f>Y7+Y11+Y16</f>
        <v>295.22853305106037</v>
      </c>
      <c r="Z5" s="275">
        <f t="shared" ref="Z5:AH5" si="0">Z7+Z11+Z16</f>
        <v>262.59699079992106</v>
      </c>
      <c r="AA5" s="275">
        <f t="shared" si="0"/>
        <v>226.65319319920894</v>
      </c>
      <c r="AB5" s="275">
        <f t="shared" si="0"/>
        <v>244.37569370441497</v>
      </c>
      <c r="AC5" s="275">
        <f t="shared" si="0"/>
        <v>258.97173470085369</v>
      </c>
      <c r="AD5" s="275">
        <f t="shared" si="0"/>
        <v>274.77696636803233</v>
      </c>
      <c r="AE5" s="275">
        <f t="shared" si="0"/>
        <v>291.8918391018866</v>
      </c>
      <c r="AF5" s="275">
        <f t="shared" si="0"/>
        <v>310.42506671663182</v>
      </c>
      <c r="AG5" s="275">
        <f t="shared" si="0"/>
        <v>330.49429747121428</v>
      </c>
      <c r="AH5" s="275">
        <f t="shared" si="0"/>
        <v>290.56017223608325</v>
      </c>
    </row>
    <row r="6" spans="1:34"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</row>
    <row r="7" spans="1:34" s="38" customFormat="1">
      <c r="B7" s="38" t="s">
        <v>370</v>
      </c>
      <c r="C7" s="221" t="s">
        <v>16</v>
      </c>
      <c r="D7" s="290">
        <f>SUM(D8:D9)</f>
        <v>0</v>
      </c>
      <c r="E7" s="290">
        <f t="shared" ref="E7:AH7" si="1">SUM(E8:E9)</f>
        <v>0</v>
      </c>
      <c r="F7" s="290">
        <f t="shared" si="1"/>
        <v>0</v>
      </c>
      <c r="G7" s="290">
        <f t="shared" si="1"/>
        <v>0</v>
      </c>
      <c r="H7" s="290">
        <f t="shared" si="1"/>
        <v>0</v>
      </c>
      <c r="I7" s="290">
        <f t="shared" si="1"/>
        <v>0</v>
      </c>
      <c r="J7" s="290">
        <f t="shared" si="1"/>
        <v>0</v>
      </c>
      <c r="K7" s="290">
        <f t="shared" si="1"/>
        <v>0</v>
      </c>
      <c r="L7" s="290">
        <f t="shared" si="1"/>
        <v>0</v>
      </c>
      <c r="M7" s="290">
        <f t="shared" si="1"/>
        <v>0</v>
      </c>
      <c r="N7" s="290">
        <f t="shared" si="1"/>
        <v>0</v>
      </c>
      <c r="O7" s="290">
        <f t="shared" si="1"/>
        <v>0</v>
      </c>
      <c r="P7" s="290">
        <f t="shared" si="1"/>
        <v>0</v>
      </c>
      <c r="Q7" s="290">
        <f t="shared" si="1"/>
        <v>0</v>
      </c>
      <c r="R7" s="290">
        <f t="shared" si="1"/>
        <v>0</v>
      </c>
      <c r="S7" s="290">
        <f t="shared" si="1"/>
        <v>0</v>
      </c>
      <c r="T7" s="290">
        <f t="shared" si="1"/>
        <v>0</v>
      </c>
      <c r="U7" s="290">
        <f t="shared" si="1"/>
        <v>0</v>
      </c>
      <c r="V7" s="290">
        <f t="shared" si="1"/>
        <v>0</v>
      </c>
      <c r="W7" s="290">
        <f t="shared" si="1"/>
        <v>0</v>
      </c>
      <c r="X7" s="290">
        <f t="shared" si="1"/>
        <v>0</v>
      </c>
      <c r="Y7" s="290">
        <f t="shared" si="1"/>
        <v>0</v>
      </c>
      <c r="Z7" s="290">
        <f t="shared" si="1"/>
        <v>0</v>
      </c>
      <c r="AA7" s="290">
        <f t="shared" si="1"/>
        <v>0</v>
      </c>
      <c r="AB7" s="290">
        <f t="shared" si="1"/>
        <v>61.666666666666671</v>
      </c>
      <c r="AC7" s="290">
        <f t="shared" si="1"/>
        <v>61.666666666666671</v>
      </c>
      <c r="AD7" s="290">
        <f t="shared" si="1"/>
        <v>61.666666666666671</v>
      </c>
      <c r="AE7" s="290">
        <f t="shared" si="1"/>
        <v>61.666666666666671</v>
      </c>
      <c r="AF7" s="290">
        <f t="shared" si="1"/>
        <v>61.666666666666671</v>
      </c>
      <c r="AG7" s="290">
        <f t="shared" si="1"/>
        <v>61.666666666666671</v>
      </c>
      <c r="AH7" s="290">
        <f t="shared" si="1"/>
        <v>0</v>
      </c>
    </row>
    <row r="8" spans="1:34">
      <c r="B8" t="s">
        <v>369</v>
      </c>
      <c r="D8" s="285">
        <f>0</f>
        <v>0</v>
      </c>
      <c r="E8" s="285">
        <f>0</f>
        <v>0</v>
      </c>
      <c r="F8" s="285">
        <f>0</f>
        <v>0</v>
      </c>
      <c r="G8" s="285">
        <f>0</f>
        <v>0</v>
      </c>
      <c r="H8" s="285">
        <f>0</f>
        <v>0</v>
      </c>
      <c r="I8" s="285">
        <f>0</f>
        <v>0</v>
      </c>
      <c r="J8" s="285">
        <f>0</f>
        <v>0</v>
      </c>
      <c r="K8" s="285">
        <f>0</f>
        <v>0</v>
      </c>
      <c r="L8" s="285">
        <f>0</f>
        <v>0</v>
      </c>
      <c r="M8" s="285">
        <f>0</f>
        <v>0</v>
      </c>
      <c r="N8" s="285">
        <f>0</f>
        <v>0</v>
      </c>
      <c r="O8" s="285">
        <f>0</f>
        <v>0</v>
      </c>
      <c r="P8" s="285">
        <f>0</f>
        <v>0</v>
      </c>
      <c r="Q8" s="285">
        <f>0</f>
        <v>0</v>
      </c>
      <c r="R8" s="285">
        <f>0</f>
        <v>0</v>
      </c>
      <c r="S8" s="285">
        <f>0</f>
        <v>0</v>
      </c>
      <c r="T8" s="285">
        <f>0</f>
        <v>0</v>
      </c>
      <c r="U8" s="285">
        <f>0</f>
        <v>0</v>
      </c>
      <c r="V8" s="285">
        <f>0</f>
        <v>0</v>
      </c>
      <c r="W8" s="285">
        <f>0</f>
        <v>0</v>
      </c>
      <c r="X8" s="285">
        <f>0</f>
        <v>0</v>
      </c>
      <c r="Y8" s="285">
        <f>0</f>
        <v>0</v>
      </c>
      <c r="Z8" s="285">
        <f>0</f>
        <v>0</v>
      </c>
      <c r="AA8" s="285">
        <f>0</f>
        <v>0</v>
      </c>
      <c r="AB8" s="288">
        <f>0.75*300/6</f>
        <v>37.5</v>
      </c>
      <c r="AC8" s="288">
        <f t="shared" ref="AC8:AG9" si="2">AB8</f>
        <v>37.5</v>
      </c>
      <c r="AD8" s="288">
        <f t="shared" si="2"/>
        <v>37.5</v>
      </c>
      <c r="AE8" s="288">
        <f t="shared" si="2"/>
        <v>37.5</v>
      </c>
      <c r="AF8" s="289">
        <f t="shared" si="2"/>
        <v>37.5</v>
      </c>
      <c r="AG8" s="289">
        <f t="shared" si="2"/>
        <v>37.5</v>
      </c>
      <c r="AH8" s="285">
        <f>0</f>
        <v>0</v>
      </c>
    </row>
    <row r="9" spans="1:34">
      <c r="B9" t="s">
        <v>368</v>
      </c>
      <c r="D9" s="285">
        <f>0</f>
        <v>0</v>
      </c>
      <c r="E9" s="285">
        <f>0</f>
        <v>0</v>
      </c>
      <c r="F9" s="285">
        <f>0</f>
        <v>0</v>
      </c>
      <c r="G9" s="285">
        <f>0</f>
        <v>0</v>
      </c>
      <c r="H9" s="285">
        <f>0</f>
        <v>0</v>
      </c>
      <c r="I9" s="285">
        <f>0</f>
        <v>0</v>
      </c>
      <c r="J9" s="285">
        <f>0</f>
        <v>0</v>
      </c>
      <c r="K9" s="285">
        <f>0</f>
        <v>0</v>
      </c>
      <c r="L9" s="285">
        <f>0</f>
        <v>0</v>
      </c>
      <c r="M9" s="285">
        <f>0</f>
        <v>0</v>
      </c>
      <c r="N9" s="285">
        <f>0</f>
        <v>0</v>
      </c>
      <c r="O9" s="285">
        <f>0</f>
        <v>0</v>
      </c>
      <c r="P9" s="285">
        <f>0</f>
        <v>0</v>
      </c>
      <c r="Q9" s="285">
        <f>0</f>
        <v>0</v>
      </c>
      <c r="R9" s="285">
        <f>0</f>
        <v>0</v>
      </c>
      <c r="S9" s="285">
        <f>0</f>
        <v>0</v>
      </c>
      <c r="T9" s="285">
        <f>0</f>
        <v>0</v>
      </c>
      <c r="U9" s="285">
        <f>0</f>
        <v>0</v>
      </c>
      <c r="V9" s="285">
        <f>0</f>
        <v>0</v>
      </c>
      <c r="W9" s="285">
        <f>0</f>
        <v>0</v>
      </c>
      <c r="X9" s="285">
        <f>0</f>
        <v>0</v>
      </c>
      <c r="Y9" s="285">
        <f>0</f>
        <v>0</v>
      </c>
      <c r="Z9" s="285">
        <f>0</f>
        <v>0</v>
      </c>
      <c r="AA9" s="285">
        <f>0</f>
        <v>0</v>
      </c>
      <c r="AB9" s="288">
        <f>145/6</f>
        <v>24.166666666666668</v>
      </c>
      <c r="AC9" s="288">
        <f t="shared" si="2"/>
        <v>24.166666666666668</v>
      </c>
      <c r="AD9" s="288">
        <f t="shared" si="2"/>
        <v>24.166666666666668</v>
      </c>
      <c r="AE9" s="288">
        <f t="shared" si="2"/>
        <v>24.166666666666668</v>
      </c>
      <c r="AF9" s="288">
        <f t="shared" si="2"/>
        <v>24.166666666666668</v>
      </c>
      <c r="AG9" s="288">
        <f t="shared" si="2"/>
        <v>24.166666666666668</v>
      </c>
      <c r="AH9" s="285">
        <f>0</f>
        <v>0</v>
      </c>
    </row>
    <row r="10" spans="1:34">
      <c r="D10" s="285"/>
      <c r="E10" s="285"/>
      <c r="F10" s="285"/>
      <c r="G10" s="285"/>
      <c r="H10" s="285"/>
      <c r="I10" s="285"/>
      <c r="J10" s="285"/>
      <c r="K10" s="285"/>
      <c r="L10" s="285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</row>
    <row r="11" spans="1:34" s="38" customFormat="1">
      <c r="B11" s="38" t="s">
        <v>367</v>
      </c>
      <c r="C11" s="221" t="s">
        <v>16</v>
      </c>
      <c r="D11" s="287"/>
      <c r="E11" s="287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  <c r="S11" s="287"/>
      <c r="T11" s="287"/>
      <c r="U11" s="287">
        <f>U12*U13</f>
        <v>21.204000000000001</v>
      </c>
      <c r="V11" s="287">
        <f t="shared" ref="V11:AH11" si="3">V12*V13</f>
        <v>63.612000000000002</v>
      </c>
      <c r="W11" s="287">
        <f t="shared" si="3"/>
        <v>63.612000000000002</v>
      </c>
      <c r="X11" s="287">
        <f t="shared" si="3"/>
        <v>63.612000000000002</v>
      </c>
      <c r="Y11" s="287">
        <f t="shared" si="3"/>
        <v>212.04000000000002</v>
      </c>
      <c r="Z11" s="287">
        <f t="shared" si="3"/>
        <v>165.64564800000002</v>
      </c>
      <c r="AA11" s="287">
        <f t="shared" si="3"/>
        <v>114.84764928000003</v>
      </c>
      <c r="AB11" s="287">
        <f t="shared" si="3"/>
        <v>59.720777625600014</v>
      </c>
      <c r="AC11" s="287">
        <f t="shared" si="3"/>
        <v>62.109608730624018</v>
      </c>
      <c r="AD11" s="287">
        <f t="shared" si="3"/>
        <v>64.593993079848985</v>
      </c>
      <c r="AE11" s="287">
        <f t="shared" si="3"/>
        <v>67.177752803042949</v>
      </c>
      <c r="AF11" s="287">
        <f t="shared" si="3"/>
        <v>69.864862915164679</v>
      </c>
      <c r="AG11" s="287">
        <f t="shared" si="3"/>
        <v>72.659457431771258</v>
      </c>
      <c r="AH11" s="287">
        <f t="shared" si="3"/>
        <v>75.565835729042121</v>
      </c>
    </row>
    <row r="12" spans="1:34">
      <c r="B12" t="s">
        <v>366</v>
      </c>
      <c r="C12" s="286" t="s">
        <v>153</v>
      </c>
      <c r="D12" s="285">
        <v>0</v>
      </c>
      <c r="E12" s="285">
        <v>0</v>
      </c>
      <c r="F12" s="285">
        <v>0</v>
      </c>
      <c r="G12" s="285">
        <v>0</v>
      </c>
      <c r="H12" s="285">
        <v>0</v>
      </c>
      <c r="I12" s="285">
        <v>0</v>
      </c>
      <c r="J12" s="285">
        <v>0</v>
      </c>
      <c r="K12" s="285">
        <v>0</v>
      </c>
      <c r="L12" s="285">
        <v>0</v>
      </c>
      <c r="M12" s="285">
        <v>0</v>
      </c>
      <c r="N12" s="285">
        <v>0</v>
      </c>
      <c r="O12" s="285">
        <v>0</v>
      </c>
      <c r="P12" s="285">
        <v>0</v>
      </c>
      <c r="Q12" s="285">
        <v>0</v>
      </c>
      <c r="R12" s="285">
        <v>0</v>
      </c>
      <c r="S12" s="285">
        <v>0</v>
      </c>
      <c r="T12" s="285">
        <v>0</v>
      </c>
      <c r="U12" s="284">
        <f>'Build-Up'!U20</f>
        <v>2</v>
      </c>
      <c r="V12" s="284">
        <f>'Build-Up'!V20</f>
        <v>6</v>
      </c>
      <c r="W12" s="284">
        <f>'Build-Up'!W20</f>
        <v>6</v>
      </c>
      <c r="X12" s="284">
        <f>'Build-Up'!X20</f>
        <v>6</v>
      </c>
      <c r="Y12" s="284">
        <f>'Build-Up'!Y20</f>
        <v>20</v>
      </c>
      <c r="Z12" s="284">
        <f>'Build-Up'!Z20</f>
        <v>15</v>
      </c>
      <c r="AA12" s="284">
        <f>'Build-Up'!AA20</f>
        <v>10</v>
      </c>
      <c r="AB12" s="284">
        <f>'Build-Up'!AB20</f>
        <v>5</v>
      </c>
      <c r="AC12" s="284">
        <f>'Build-Up'!AC20</f>
        <v>5</v>
      </c>
      <c r="AD12" s="284">
        <f>'Build-Up'!AD20</f>
        <v>5</v>
      </c>
      <c r="AE12" s="284">
        <f>'Build-Up'!AE20</f>
        <v>5</v>
      </c>
      <c r="AF12" s="284">
        <f>'Build-Up'!AF20</f>
        <v>5</v>
      </c>
      <c r="AG12" s="284">
        <f>'Build-Up'!AG20</f>
        <v>5</v>
      </c>
      <c r="AH12" s="284">
        <f>'Build-Up'!AH20</f>
        <v>5</v>
      </c>
    </row>
    <row r="13" spans="1:34">
      <c r="B13" t="s">
        <v>365</v>
      </c>
      <c r="C13" s="5" t="s">
        <v>16</v>
      </c>
      <c r="D13" s="285">
        <v>0</v>
      </c>
      <c r="E13" s="285">
        <v>0</v>
      </c>
      <c r="F13" s="285">
        <v>0</v>
      </c>
      <c r="G13" s="285">
        <v>0</v>
      </c>
      <c r="H13" s="285">
        <v>0</v>
      </c>
      <c r="I13" s="285">
        <v>0</v>
      </c>
      <c r="J13" s="285">
        <v>0</v>
      </c>
      <c r="K13" s="285">
        <v>0</v>
      </c>
      <c r="L13" s="285">
        <v>0</v>
      </c>
      <c r="M13" s="285">
        <v>0</v>
      </c>
      <c r="N13" s="285">
        <v>0</v>
      </c>
      <c r="O13" s="285">
        <v>0</v>
      </c>
      <c r="P13" s="285">
        <v>0</v>
      </c>
      <c r="Q13" s="285">
        <v>0</v>
      </c>
      <c r="R13" s="285">
        <v>0</v>
      </c>
      <c r="S13" s="285">
        <v>0</v>
      </c>
      <c r="T13" s="284">
        <v>10</v>
      </c>
      <c r="U13" s="284">
        <f>$T$13*(1+$Y$14)</f>
        <v>10.602</v>
      </c>
      <c r="V13" s="284">
        <f>Scenarios!C19</f>
        <v>10.602</v>
      </c>
      <c r="W13" s="284">
        <f>Scenarios!D19</f>
        <v>10.602</v>
      </c>
      <c r="X13" s="284">
        <f>Scenarios!E19</f>
        <v>10.602</v>
      </c>
      <c r="Y13" s="284">
        <f>Scenarios!F19</f>
        <v>10.602</v>
      </c>
      <c r="Z13" s="284">
        <f>Scenarios!G19</f>
        <v>11.043043200000001</v>
      </c>
      <c r="AA13" s="284">
        <f>Scenarios!H19</f>
        <v>11.484764928000002</v>
      </c>
      <c r="AB13" s="284">
        <f>Scenarios!I19</f>
        <v>11.944155525120003</v>
      </c>
      <c r="AC13" s="284">
        <f>Scenarios!J19</f>
        <v>12.421921746124804</v>
      </c>
      <c r="AD13" s="284">
        <f>Scenarios!K19</f>
        <v>12.918798615969797</v>
      </c>
      <c r="AE13" s="284">
        <f>Scenarios!L19</f>
        <v>13.43555056060859</v>
      </c>
      <c r="AF13" s="284">
        <f>Scenarios!M19</f>
        <v>13.972972583032934</v>
      </c>
      <c r="AG13" s="284">
        <f>Scenarios!N19</f>
        <v>14.531891486354253</v>
      </c>
      <c r="AH13" s="284">
        <f>Scenarios!O19</f>
        <v>15.113167145808424</v>
      </c>
    </row>
    <row r="14" spans="1:34" s="78" customFormat="1">
      <c r="B14" s="78" t="s">
        <v>364</v>
      </c>
      <c r="C14" s="262" t="s">
        <v>128</v>
      </c>
      <c r="D14" s="283">
        <v>0</v>
      </c>
      <c r="E14" s="283">
        <v>0</v>
      </c>
      <c r="F14" s="283">
        <v>0</v>
      </c>
      <c r="G14" s="283">
        <v>0</v>
      </c>
      <c r="H14" s="283">
        <v>0</v>
      </c>
      <c r="I14" s="283">
        <v>0</v>
      </c>
      <c r="J14" s="283">
        <v>0</v>
      </c>
      <c r="K14" s="283">
        <v>0</v>
      </c>
      <c r="L14" s="283">
        <v>0</v>
      </c>
      <c r="M14" s="283">
        <v>0</v>
      </c>
      <c r="N14" s="283">
        <v>0</v>
      </c>
      <c r="O14" s="283">
        <v>0</v>
      </c>
      <c r="P14" s="283">
        <v>0</v>
      </c>
      <c r="Q14" s="283">
        <v>0</v>
      </c>
      <c r="R14" s="283">
        <v>0</v>
      </c>
      <c r="S14" s="283">
        <v>0</v>
      </c>
      <c r="T14" s="283">
        <v>0</v>
      </c>
      <c r="U14" s="283"/>
      <c r="V14" s="283"/>
      <c r="W14" s="283"/>
      <c r="X14" s="283"/>
      <c r="Y14" s="282">
        <f>'Macro and Sector Data'!U4</f>
        <v>6.0199999999999997E-2</v>
      </c>
      <c r="Z14" s="282">
        <f>'Macro and Sector Data'!V4</f>
        <v>4.1599999999999998E-2</v>
      </c>
      <c r="AA14" s="282">
        <f>'Macro and Sector Data'!W4</f>
        <v>0.04</v>
      </c>
      <c r="AB14" s="282">
        <f>'Macro and Sector Data'!X4</f>
        <v>0.04</v>
      </c>
      <c r="AC14" s="282">
        <f>'Macro and Sector Data'!Y4</f>
        <v>0.04</v>
      </c>
      <c r="AD14" s="282">
        <f>'Macro and Sector Data'!Z4</f>
        <v>0.04</v>
      </c>
      <c r="AE14" s="282">
        <f>'Macro and Sector Data'!AA4</f>
        <v>0.04</v>
      </c>
      <c r="AF14" s="282">
        <f>'Macro and Sector Data'!AB4</f>
        <v>0.04</v>
      </c>
      <c r="AG14" s="282">
        <f>'Macro and Sector Data'!AC4</f>
        <v>0.04</v>
      </c>
      <c r="AH14" s="282">
        <f>'Macro and Sector Data'!AD4</f>
        <v>0.04</v>
      </c>
    </row>
    <row r="16" spans="1:34" s="38" customFormat="1">
      <c r="B16" s="38" t="s">
        <v>363</v>
      </c>
      <c r="U16" s="281"/>
      <c r="V16" s="281"/>
      <c r="W16" s="281"/>
      <c r="X16" s="281"/>
      <c r="Y16" s="281">
        <f>Y17*Y18</f>
        <v>83.188533051060361</v>
      </c>
      <c r="Z16" s="281">
        <f t="shared" ref="Z16:AH16" si="4">Z17*Z18</f>
        <v>96.951342799921008</v>
      </c>
      <c r="AA16" s="281">
        <f t="shared" si="4"/>
        <v>111.80554391920893</v>
      </c>
      <c r="AB16" s="281">
        <f t="shared" si="4"/>
        <v>122.98824941214829</v>
      </c>
      <c r="AC16" s="281">
        <f t="shared" si="4"/>
        <v>135.19545930356301</v>
      </c>
      <c r="AD16" s="281">
        <f t="shared" si="4"/>
        <v>148.51630662151669</v>
      </c>
      <c r="AE16" s="281">
        <f t="shared" si="4"/>
        <v>163.04741963217694</v>
      </c>
      <c r="AF16" s="281">
        <f t="shared" si="4"/>
        <v>178.89353713480043</v>
      </c>
      <c r="AG16" s="281">
        <f t="shared" si="4"/>
        <v>196.16817337277632</v>
      </c>
      <c r="AH16" s="281">
        <f t="shared" si="4"/>
        <v>214.99433650704111</v>
      </c>
    </row>
    <row r="17" spans="1:34">
      <c r="B17" t="s">
        <v>18</v>
      </c>
      <c r="C17" s="5" t="s">
        <v>16</v>
      </c>
      <c r="D17" s="263">
        <f>IS!D8</f>
        <v>1050.836</v>
      </c>
      <c r="E17" s="263">
        <f>IS!E8</f>
        <v>1689.51</v>
      </c>
      <c r="F17" s="263">
        <f>IS!F8</f>
        <v>453.35899999999998</v>
      </c>
      <c r="G17" s="263">
        <f>IS!G8</f>
        <v>482.65499999999997</v>
      </c>
      <c r="H17" s="263">
        <f>IS!H8</f>
        <v>524.85799999999995</v>
      </c>
      <c r="I17" s="263">
        <f>IS!I8</f>
        <v>574.26370842000017</v>
      </c>
      <c r="J17" s="263">
        <f>IS!J8</f>
        <v>2035.1357084200001</v>
      </c>
      <c r="K17" s="263">
        <f>IS!K8</f>
        <v>614.55200000000002</v>
      </c>
      <c r="L17" s="263">
        <f>IS!L8</f>
        <v>640.21500000000003</v>
      </c>
      <c r="M17" s="263">
        <f>IS!M8</f>
        <v>679.42000000000007</v>
      </c>
      <c r="N17" s="263">
        <f>IS!N8</f>
        <v>767.87899999999991</v>
      </c>
      <c r="O17" s="263">
        <f>IS!O8</f>
        <v>2702.0659999999998</v>
      </c>
      <c r="P17" s="263">
        <f>IS!P8</f>
        <v>807.952</v>
      </c>
      <c r="Q17" s="263">
        <f>IS!Q8</f>
        <v>899.9</v>
      </c>
      <c r="R17" s="263">
        <f>IS!R8</f>
        <v>1163.8720000000001</v>
      </c>
      <c r="S17" s="263">
        <f>IS!S8</f>
        <v>1216.528</v>
      </c>
      <c r="T17" s="263">
        <f>IS!T8</f>
        <v>4088.2520000000004</v>
      </c>
      <c r="U17" s="263">
        <f>IS!U8</f>
        <v>1293.5</v>
      </c>
      <c r="V17" s="263">
        <f>IS!V8</f>
        <v>1323.2108244680076</v>
      </c>
      <c r="W17" s="263">
        <f>IS!W8</f>
        <v>1428.5296414633349</v>
      </c>
      <c r="X17" s="263">
        <f>IS!X8</f>
        <v>1500.6617374726836</v>
      </c>
      <c r="Y17" s="263">
        <f>IS!Y8</f>
        <v>5545.9022034040245</v>
      </c>
      <c r="Z17" s="263">
        <f>IS!Z8</f>
        <v>6463.4228533280675</v>
      </c>
      <c r="AA17" s="263">
        <f>IS!AA8</f>
        <v>7453.7029279472627</v>
      </c>
      <c r="AB17" s="263">
        <f>IS!AB8</f>
        <v>8199.2166274765532</v>
      </c>
      <c r="AC17" s="263">
        <f>IS!AC8</f>
        <v>9013.0306202375341</v>
      </c>
      <c r="AD17" s="263">
        <f>IS!AD8</f>
        <v>9901.0871081011137</v>
      </c>
      <c r="AE17" s="263">
        <f>IS!AE8</f>
        <v>10869.827975478463</v>
      </c>
      <c r="AF17" s="263">
        <f>IS!AF8</f>
        <v>11926.235808986696</v>
      </c>
      <c r="AG17" s="263">
        <f>IS!AG8</f>
        <v>13077.878224851755</v>
      </c>
      <c r="AH17" s="263">
        <f>IS!AH8</f>
        <v>14332.955767136074</v>
      </c>
    </row>
    <row r="18" spans="1:34" s="78" customFormat="1">
      <c r="B18" s="78" t="s">
        <v>362</v>
      </c>
      <c r="C18" s="262" t="s">
        <v>128</v>
      </c>
      <c r="U18" s="259"/>
      <c r="V18" s="259"/>
      <c r="W18" s="259"/>
      <c r="X18" s="259"/>
      <c r="Y18" s="259">
        <v>1.4999999999999999E-2</v>
      </c>
      <c r="Z18" s="259">
        <v>1.4999999999999999E-2</v>
      </c>
      <c r="AA18" s="259">
        <v>1.4999999999999999E-2</v>
      </c>
      <c r="AB18" s="259">
        <v>1.4999999999999999E-2</v>
      </c>
      <c r="AC18" s="259">
        <v>1.4999999999999999E-2</v>
      </c>
      <c r="AD18" s="259">
        <v>1.4999999999999999E-2</v>
      </c>
      <c r="AE18" s="259">
        <v>1.4999999999999999E-2</v>
      </c>
      <c r="AF18" s="259">
        <v>1.4999999999999999E-2</v>
      </c>
      <c r="AG18" s="259">
        <v>1.4999999999999999E-2</v>
      </c>
      <c r="AH18" s="259">
        <v>1.4999999999999999E-2</v>
      </c>
    </row>
    <row r="20" spans="1:34" s="274" customFormat="1">
      <c r="B20" s="274" t="s">
        <v>361</v>
      </c>
      <c r="C20" s="276" t="s">
        <v>16</v>
      </c>
      <c r="D20" s="275"/>
      <c r="E20" s="275"/>
      <c r="F20" s="275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75"/>
      <c r="R20" s="275"/>
      <c r="S20" s="275"/>
      <c r="T20" s="275"/>
      <c r="U20" s="275">
        <v>13</v>
      </c>
      <c r="V20" s="275">
        <f>W20</f>
        <v>29.880062997866649</v>
      </c>
      <c r="W20" s="275">
        <f>X20</f>
        <v>29.880062997866649</v>
      </c>
      <c r="X20" s="275">
        <f>(Y20-U20)/3</f>
        <v>29.880062997866649</v>
      </c>
      <c r="Y20" s="275">
        <f>Y22+Y24+Y26</f>
        <v>102.64018899359995</v>
      </c>
      <c r="Z20" s="275">
        <f>Z22+Z24+Z26</f>
        <v>101.75264558789468</v>
      </c>
      <c r="AA20" s="275">
        <f t="shared" ref="AA20:AH20" si="5">AA22+AA24+AA26</f>
        <v>105.35239878698353</v>
      </c>
      <c r="AB20" s="275">
        <f t="shared" si="5"/>
        <v>109.56649473846286</v>
      </c>
      <c r="AC20" s="275">
        <f t="shared" si="5"/>
        <v>113.94915452800137</v>
      </c>
      <c r="AD20" s="275">
        <f t="shared" si="5"/>
        <v>118.50712070912142</v>
      </c>
      <c r="AE20" s="275">
        <f t="shared" si="5"/>
        <v>123.24740553748629</v>
      </c>
      <c r="AF20" s="275">
        <f t="shared" si="5"/>
        <v>128.17730175898572</v>
      </c>
      <c r="AG20" s="275">
        <f t="shared" si="5"/>
        <v>133.30439382934517</v>
      </c>
      <c r="AH20" s="275">
        <f t="shared" si="5"/>
        <v>138.63656958251897</v>
      </c>
    </row>
    <row r="21" spans="1:34">
      <c r="X21" s="250"/>
    </row>
    <row r="22" spans="1:34" s="38" customFormat="1">
      <c r="B22" s="38" t="s">
        <v>360</v>
      </c>
      <c r="C22" s="221" t="s">
        <v>16</v>
      </c>
      <c r="D22" s="280">
        <f>0</f>
        <v>0</v>
      </c>
      <c r="E22" s="280">
        <f>0</f>
        <v>0</v>
      </c>
      <c r="F22" s="280">
        <f>0</f>
        <v>0</v>
      </c>
      <c r="G22" s="280">
        <f>0</f>
        <v>0</v>
      </c>
      <c r="H22" s="280">
        <f>0</f>
        <v>0</v>
      </c>
      <c r="I22" s="280">
        <f>0</f>
        <v>0</v>
      </c>
      <c r="J22" s="280">
        <f>0</f>
        <v>0</v>
      </c>
      <c r="K22" s="280">
        <f>0</f>
        <v>0</v>
      </c>
      <c r="L22" s="280">
        <f>0</f>
        <v>0</v>
      </c>
      <c r="M22" s="280">
        <f>0</f>
        <v>0</v>
      </c>
      <c r="N22" s="280">
        <f>0</f>
        <v>0</v>
      </c>
      <c r="O22" s="280">
        <f>0</f>
        <v>0</v>
      </c>
      <c r="P22" s="280">
        <f>0</f>
        <v>0</v>
      </c>
      <c r="Q22" s="280">
        <f>0</f>
        <v>0</v>
      </c>
      <c r="R22" s="280">
        <f>0</f>
        <v>0</v>
      </c>
      <c r="S22" s="280">
        <f>0</f>
        <v>0</v>
      </c>
      <c r="T22" s="280">
        <f>0</f>
        <v>0</v>
      </c>
      <c r="U22" s="280">
        <f>0</f>
        <v>0</v>
      </c>
      <c r="V22" s="280">
        <f>0</f>
        <v>0</v>
      </c>
      <c r="W22" s="280">
        <f>0</f>
        <v>0</v>
      </c>
      <c r="X22" s="280">
        <f>0</f>
        <v>0</v>
      </c>
      <c r="Y22" s="280">
        <f>0</f>
        <v>0</v>
      </c>
      <c r="Z22" s="280">
        <f>0</f>
        <v>0</v>
      </c>
      <c r="AA22" s="280">
        <f>0</f>
        <v>0</v>
      </c>
      <c r="AB22" s="280">
        <f>0</f>
        <v>0</v>
      </c>
      <c r="AC22" s="280">
        <f>0</f>
        <v>0</v>
      </c>
      <c r="AD22" s="280">
        <f>0</f>
        <v>0</v>
      </c>
      <c r="AE22" s="280">
        <f>0</f>
        <v>0</v>
      </c>
      <c r="AF22" s="280">
        <f>0</f>
        <v>0</v>
      </c>
      <c r="AG22" s="280">
        <f>0</f>
        <v>0</v>
      </c>
      <c r="AH22" s="280">
        <f>0</f>
        <v>0</v>
      </c>
    </row>
    <row r="23" spans="1:34">
      <c r="D23" s="250"/>
      <c r="E23" s="250"/>
      <c r="F23" s="250"/>
      <c r="G23" s="250"/>
      <c r="H23" s="250"/>
      <c r="I23" s="250"/>
      <c r="J23" s="250"/>
      <c r="K23" s="250"/>
      <c r="L23" s="250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  <c r="AA23" s="250"/>
      <c r="AB23" s="250"/>
      <c r="AC23" s="250"/>
      <c r="AD23" s="250"/>
      <c r="AE23" s="250"/>
      <c r="AF23" s="250"/>
      <c r="AG23" s="250"/>
      <c r="AH23" s="250"/>
    </row>
    <row r="24" spans="1:34" s="38" customFormat="1">
      <c r="B24" s="38" t="s">
        <v>359</v>
      </c>
      <c r="C24" s="221" t="s">
        <v>16</v>
      </c>
      <c r="D24" s="280">
        <f>0</f>
        <v>0</v>
      </c>
      <c r="E24" s="280">
        <f>0</f>
        <v>0</v>
      </c>
      <c r="F24" s="280">
        <f>0</f>
        <v>0</v>
      </c>
      <c r="G24" s="280">
        <f>0</f>
        <v>0</v>
      </c>
      <c r="H24" s="280">
        <f>0</f>
        <v>0</v>
      </c>
      <c r="I24" s="280">
        <f>0</f>
        <v>0</v>
      </c>
      <c r="J24" s="280">
        <f>0</f>
        <v>0</v>
      </c>
      <c r="K24" s="280">
        <f>0</f>
        <v>0</v>
      </c>
      <c r="L24" s="280">
        <f>0</f>
        <v>0</v>
      </c>
      <c r="M24" s="280">
        <f>0</f>
        <v>0</v>
      </c>
      <c r="N24" s="280">
        <f>0</f>
        <v>0</v>
      </c>
      <c r="O24" s="280">
        <f>0</f>
        <v>0</v>
      </c>
      <c r="P24" s="280">
        <f>0</f>
        <v>0</v>
      </c>
      <c r="Q24" s="280">
        <f>0</f>
        <v>0</v>
      </c>
      <c r="R24" s="280">
        <f>0</f>
        <v>0</v>
      </c>
      <c r="S24" s="280">
        <f>0</f>
        <v>0</v>
      </c>
      <c r="T24" s="280">
        <f>0</f>
        <v>0</v>
      </c>
      <c r="U24" s="280"/>
      <c r="V24" s="280"/>
      <c r="W24" s="280"/>
      <c r="X24" s="280"/>
      <c r="Y24" s="280">
        <f>0</f>
        <v>0</v>
      </c>
      <c r="Z24" s="280">
        <f>0</f>
        <v>0</v>
      </c>
      <c r="AA24" s="280">
        <f>0</f>
        <v>0</v>
      </c>
      <c r="AB24" s="280">
        <f>0</f>
        <v>0</v>
      </c>
      <c r="AC24" s="280">
        <f>0</f>
        <v>0</v>
      </c>
      <c r="AD24" s="280">
        <f>0</f>
        <v>0</v>
      </c>
      <c r="AE24" s="280">
        <f>0</f>
        <v>0</v>
      </c>
      <c r="AF24" s="280">
        <f>0</f>
        <v>0</v>
      </c>
      <c r="AG24" s="280">
        <f>0</f>
        <v>0</v>
      </c>
      <c r="AH24" s="280">
        <f>0</f>
        <v>0</v>
      </c>
    </row>
    <row r="26" spans="1:34" s="38" customFormat="1">
      <c r="B26" s="38" t="s">
        <v>358</v>
      </c>
      <c r="C26" s="221" t="s">
        <v>16</v>
      </c>
      <c r="D26" s="280">
        <v>0</v>
      </c>
      <c r="E26" s="280">
        <v>0</v>
      </c>
      <c r="F26" s="280">
        <v>0</v>
      </c>
      <c r="G26" s="280">
        <v>0</v>
      </c>
      <c r="H26" s="280">
        <v>0</v>
      </c>
      <c r="I26" s="280">
        <v>0</v>
      </c>
      <c r="J26" s="280">
        <v>0</v>
      </c>
      <c r="K26" s="280">
        <v>0</v>
      </c>
      <c r="L26" s="280">
        <v>0</v>
      </c>
      <c r="M26" s="280">
        <v>0</v>
      </c>
      <c r="N26" s="280">
        <v>0</v>
      </c>
      <c r="O26" s="280">
        <v>0</v>
      </c>
      <c r="P26" s="280">
        <v>0</v>
      </c>
      <c r="Q26" s="280">
        <v>0</v>
      </c>
      <c r="R26" s="280">
        <v>0</v>
      </c>
      <c r="S26" s="280">
        <v>0</v>
      </c>
      <c r="T26" s="280">
        <v>0</v>
      </c>
      <c r="U26" s="280"/>
      <c r="V26" s="280"/>
      <c r="W26" s="280"/>
      <c r="X26" s="280"/>
      <c r="Y26" s="280">
        <f>Y28+Y29</f>
        <v>102.64018899359995</v>
      </c>
      <c r="Z26" s="280">
        <f t="shared" ref="Z26:AH26" si="6">Z28+Z29</f>
        <v>101.75264558789468</v>
      </c>
      <c r="AA26" s="280">
        <f t="shared" si="6"/>
        <v>105.35239878698353</v>
      </c>
      <c r="AB26" s="280">
        <f t="shared" si="6"/>
        <v>109.56649473846286</v>
      </c>
      <c r="AC26" s="280">
        <f t="shared" si="6"/>
        <v>113.94915452800137</v>
      </c>
      <c r="AD26" s="280">
        <f t="shared" si="6"/>
        <v>118.50712070912142</v>
      </c>
      <c r="AE26" s="280">
        <f t="shared" si="6"/>
        <v>123.24740553748629</v>
      </c>
      <c r="AF26" s="280">
        <f t="shared" si="6"/>
        <v>128.17730175898572</v>
      </c>
      <c r="AG26" s="280">
        <f t="shared" si="6"/>
        <v>133.30439382934517</v>
      </c>
      <c r="AH26" s="280">
        <f t="shared" si="6"/>
        <v>138.63656958251897</v>
      </c>
    </row>
    <row r="27" spans="1:34">
      <c r="B27" t="s">
        <v>357</v>
      </c>
      <c r="C27" s="5" t="s">
        <v>16</v>
      </c>
      <c r="D27" s="250">
        <v>0</v>
      </c>
      <c r="E27" s="250">
        <v>0</v>
      </c>
      <c r="F27" s="250"/>
      <c r="G27" s="250"/>
      <c r="H27" s="250"/>
      <c r="I27" s="250"/>
      <c r="J27" s="250">
        <v>124.07399999999984</v>
      </c>
      <c r="K27" s="250"/>
      <c r="L27" s="250"/>
      <c r="M27" s="250"/>
      <c r="N27" s="250"/>
      <c r="O27" s="250">
        <v>153.8760000000002</v>
      </c>
      <c r="P27" s="250"/>
      <c r="Q27" s="250"/>
      <c r="R27" s="250"/>
      <c r="S27" s="250"/>
      <c r="T27" s="250">
        <v>358.346</v>
      </c>
      <c r="Y27" s="250">
        <f>T27+Y29</f>
        <v>379.91842919999999</v>
      </c>
      <c r="Z27" s="250">
        <f>Y27+Z29</f>
        <v>395.72303585471997</v>
      </c>
      <c r="AA27" s="250">
        <f t="shared" ref="AA27:AH27" si="7">Z27+AA29</f>
        <v>411.55195728890874</v>
      </c>
      <c r="AB27" s="250">
        <f t="shared" si="7"/>
        <v>428.01403558046508</v>
      </c>
      <c r="AC27" s="250">
        <f t="shared" si="7"/>
        <v>445.13459700368367</v>
      </c>
      <c r="AD27" s="250">
        <f t="shared" si="7"/>
        <v>462.93998088383103</v>
      </c>
      <c r="AE27" s="250">
        <f t="shared" si="7"/>
        <v>481.45758011918429</v>
      </c>
      <c r="AF27" s="250">
        <f t="shared" si="7"/>
        <v>500.71588332395163</v>
      </c>
      <c r="AG27" s="250">
        <f t="shared" si="7"/>
        <v>520.74451865690969</v>
      </c>
      <c r="AH27" s="250">
        <f t="shared" si="7"/>
        <v>541.57429940318605</v>
      </c>
    </row>
    <row r="28" spans="1:34">
      <c r="B28" t="s">
        <v>356</v>
      </c>
      <c r="C28" s="5" t="s">
        <v>16</v>
      </c>
      <c r="D28" s="250">
        <v>0</v>
      </c>
      <c r="E28" s="250">
        <v>0</v>
      </c>
      <c r="F28" s="250">
        <v>0</v>
      </c>
      <c r="G28" s="250">
        <v>0</v>
      </c>
      <c r="H28" s="250">
        <v>0</v>
      </c>
      <c r="I28" s="250">
        <v>0</v>
      </c>
      <c r="J28" s="250">
        <v>0</v>
      </c>
      <c r="K28" s="250">
        <v>0</v>
      </c>
      <c r="L28" s="250">
        <v>0</v>
      </c>
      <c r="M28" s="250">
        <v>0</v>
      </c>
      <c r="N28" s="250">
        <v>0</v>
      </c>
      <c r="O28" s="250">
        <v>0</v>
      </c>
      <c r="P28" s="250">
        <v>0</v>
      </c>
      <c r="Q28" s="250">
        <v>0</v>
      </c>
      <c r="R28" s="250">
        <v>0</v>
      </c>
      <c r="S28" s="250">
        <v>0</v>
      </c>
      <c r="T28" s="250">
        <v>0</v>
      </c>
      <c r="U28" s="250"/>
      <c r="V28" s="250"/>
      <c r="W28" s="250"/>
      <c r="X28" s="250"/>
      <c r="Y28" s="250">
        <f>Y42</f>
        <v>81.067759793599947</v>
      </c>
      <c r="Z28" s="250">
        <f t="shared" ref="Z28:AH28" si="8">Z42</f>
        <v>85.948038933174672</v>
      </c>
      <c r="AA28" s="250">
        <f t="shared" si="8"/>
        <v>89.523477352794728</v>
      </c>
      <c r="AB28" s="250">
        <f t="shared" si="8"/>
        <v>93.104416446906512</v>
      </c>
      <c r="AC28" s="250">
        <f t="shared" si="8"/>
        <v>96.828593104782769</v>
      </c>
      <c r="AD28" s="250">
        <f t="shared" si="8"/>
        <v>100.70173682897408</v>
      </c>
      <c r="AE28" s="250">
        <f t="shared" si="8"/>
        <v>104.72980630213304</v>
      </c>
      <c r="AF28" s="250">
        <f t="shared" si="8"/>
        <v>108.91899855421836</v>
      </c>
      <c r="AG28" s="250">
        <f t="shared" si="8"/>
        <v>113.2757584963871</v>
      </c>
      <c r="AH28" s="250">
        <f t="shared" si="8"/>
        <v>117.80678883624257</v>
      </c>
    </row>
    <row r="29" spans="1:34">
      <c r="B29" t="s">
        <v>355</v>
      </c>
      <c r="C29" s="5" t="s">
        <v>16</v>
      </c>
      <c r="D29" s="250">
        <v>0</v>
      </c>
      <c r="E29" s="250">
        <v>0</v>
      </c>
      <c r="F29" s="250">
        <v>0</v>
      </c>
      <c r="G29" s="250">
        <v>0</v>
      </c>
      <c r="H29" s="250">
        <v>0</v>
      </c>
      <c r="I29" s="250">
        <v>0</v>
      </c>
      <c r="J29" s="250">
        <v>0</v>
      </c>
      <c r="K29" s="250">
        <v>0</v>
      </c>
      <c r="L29" s="250">
        <v>0</v>
      </c>
      <c r="M29" s="250">
        <v>0</v>
      </c>
      <c r="N29" s="250">
        <v>0</v>
      </c>
      <c r="O29" s="250">
        <v>0</v>
      </c>
      <c r="P29" s="250">
        <v>0</v>
      </c>
      <c r="Q29" s="250">
        <v>0</v>
      </c>
      <c r="R29" s="250">
        <v>0</v>
      </c>
      <c r="S29" s="250">
        <v>0</v>
      </c>
      <c r="T29" s="250">
        <v>0</v>
      </c>
      <c r="U29" s="250"/>
      <c r="V29" s="250"/>
      <c r="W29" s="250"/>
      <c r="X29" s="250"/>
      <c r="Y29" s="250">
        <f>T27*Y30</f>
        <v>21.572429199999998</v>
      </c>
      <c r="Z29" s="250">
        <f>Y27*Z30</f>
        <v>15.804606654719999</v>
      </c>
      <c r="AA29" s="250">
        <f t="shared" ref="AA29:AH29" si="9">Z27*AA30</f>
        <v>15.8289214341888</v>
      </c>
      <c r="AB29" s="250">
        <f t="shared" si="9"/>
        <v>16.462078291556349</v>
      </c>
      <c r="AC29" s="250">
        <f t="shared" si="9"/>
        <v>17.120561423218604</v>
      </c>
      <c r="AD29" s="250">
        <f t="shared" si="9"/>
        <v>17.805383880147346</v>
      </c>
      <c r="AE29" s="250">
        <f t="shared" si="9"/>
        <v>18.517599235353241</v>
      </c>
      <c r="AF29" s="250">
        <f t="shared" si="9"/>
        <v>19.258303204767373</v>
      </c>
      <c r="AG29" s="250">
        <f t="shared" si="9"/>
        <v>20.028635332958064</v>
      </c>
      <c r="AH29" s="250">
        <f t="shared" si="9"/>
        <v>20.829780746276388</v>
      </c>
    </row>
    <row r="30" spans="1:34" s="78" customFormat="1">
      <c r="B30" s="78" t="s">
        <v>354</v>
      </c>
      <c r="C30" s="262" t="s">
        <v>128</v>
      </c>
      <c r="D30" s="261">
        <v>0</v>
      </c>
      <c r="E30" s="261">
        <v>0</v>
      </c>
      <c r="F30" s="261">
        <v>0</v>
      </c>
      <c r="G30" s="261">
        <v>0</v>
      </c>
      <c r="H30" s="261">
        <v>0</v>
      </c>
      <c r="I30" s="261">
        <v>0</v>
      </c>
      <c r="J30" s="261">
        <v>0</v>
      </c>
      <c r="K30" s="261">
        <v>0</v>
      </c>
      <c r="L30" s="261">
        <v>0</v>
      </c>
      <c r="M30" s="261">
        <v>0</v>
      </c>
      <c r="N30" s="261">
        <v>0</v>
      </c>
      <c r="O30" s="261">
        <v>0</v>
      </c>
      <c r="P30" s="261">
        <v>0</v>
      </c>
      <c r="Q30" s="261">
        <v>0</v>
      </c>
      <c r="R30" s="261">
        <v>0</v>
      </c>
      <c r="S30" s="261">
        <v>0</v>
      </c>
      <c r="T30" s="261">
        <v>0</v>
      </c>
      <c r="U30" s="261"/>
      <c r="V30" s="261"/>
      <c r="W30" s="261"/>
      <c r="X30" s="261"/>
      <c r="Y30" s="245">
        <f>'Macro and Sector Data'!U4</f>
        <v>6.0199999999999997E-2</v>
      </c>
      <c r="Z30" s="245">
        <f>'Macro and Sector Data'!V4</f>
        <v>4.1599999999999998E-2</v>
      </c>
      <c r="AA30" s="245">
        <f>'Macro and Sector Data'!W4</f>
        <v>0.04</v>
      </c>
      <c r="AB30" s="245">
        <f>'Macro and Sector Data'!X4</f>
        <v>0.04</v>
      </c>
      <c r="AC30" s="245">
        <f>'Macro and Sector Data'!Y4</f>
        <v>0.04</v>
      </c>
      <c r="AD30" s="245">
        <f>'Macro and Sector Data'!Z4</f>
        <v>0.04</v>
      </c>
      <c r="AE30" s="245">
        <f>'Macro and Sector Data'!AA4</f>
        <v>0.04</v>
      </c>
      <c r="AF30" s="245">
        <f>'Macro and Sector Data'!AB4</f>
        <v>0.04</v>
      </c>
      <c r="AG30" s="245">
        <f>'Macro and Sector Data'!AC4</f>
        <v>0.04</v>
      </c>
      <c r="AH30" s="245">
        <f>'Macro and Sector Data'!AD4</f>
        <v>0.04</v>
      </c>
    </row>
    <row r="32" spans="1:34">
      <c r="A32" s="7"/>
      <c r="B32" s="30" t="s">
        <v>343</v>
      </c>
      <c r="C32" s="2" t="s">
        <v>16</v>
      </c>
      <c r="D32" s="6"/>
      <c r="E32" s="6"/>
      <c r="F32" s="8"/>
      <c r="G32" s="8"/>
      <c r="H32" s="8"/>
      <c r="I32" s="8"/>
      <c r="J32" s="6"/>
      <c r="K32" s="8"/>
      <c r="L32" s="8"/>
      <c r="M32" s="8"/>
      <c r="N32" s="8"/>
      <c r="O32" s="6"/>
      <c r="P32" s="8"/>
      <c r="Q32" s="8"/>
      <c r="R32" s="8"/>
      <c r="S32" s="8"/>
      <c r="T32" s="6"/>
      <c r="U32" s="64"/>
      <c r="V32" s="63"/>
      <c r="W32" s="63"/>
      <c r="X32" s="63"/>
      <c r="Y32" s="37"/>
      <c r="Z32" s="37"/>
      <c r="AA32" s="37"/>
      <c r="AB32" s="37"/>
      <c r="AC32" s="37"/>
      <c r="AD32" s="37"/>
      <c r="AE32" s="37"/>
      <c r="AF32" s="37"/>
      <c r="AG32" s="37"/>
      <c r="AH32" s="37"/>
    </row>
    <row r="33" spans="1:34" s="274" customFormat="1">
      <c r="B33" s="274" t="s">
        <v>353</v>
      </c>
      <c r="C33" s="276" t="s">
        <v>16</v>
      </c>
      <c r="E33" s="310">
        <v>24.5</v>
      </c>
      <c r="F33" s="310"/>
      <c r="G33" s="310"/>
      <c r="H33" s="310"/>
      <c r="I33" s="310"/>
      <c r="J33" s="310">
        <v>40.829000000000001</v>
      </c>
      <c r="K33" s="310">
        <v>10.012</v>
      </c>
      <c r="L33" s="310">
        <v>17.722999999999999</v>
      </c>
      <c r="M33" s="310">
        <v>13.125999999999998</v>
      </c>
      <c r="N33" s="310">
        <v>12.487000000000002</v>
      </c>
      <c r="O33" s="311">
        <f>SUM(K33:N33)</f>
        <v>53.347999999999999</v>
      </c>
      <c r="P33" s="310">
        <v>17.117999999999999</v>
      </c>
      <c r="Q33" s="310">
        <v>17.799000000000003</v>
      </c>
      <c r="R33" s="310">
        <v>17.516999999999996</v>
      </c>
      <c r="S33" s="310">
        <v>11.936999999999998</v>
      </c>
      <c r="T33" s="311">
        <f>SUM(P33:S33)</f>
        <v>64.370999999999995</v>
      </c>
      <c r="U33" s="312">
        <v>18.899999999999999</v>
      </c>
      <c r="V33" s="313">
        <f>W33</f>
        <v>25.432444260079176</v>
      </c>
      <c r="W33" s="313">
        <f>X33</f>
        <v>25.432444260079176</v>
      </c>
      <c r="X33" s="313">
        <f>(Y33-U33)/3</f>
        <v>25.432444260079176</v>
      </c>
      <c r="Y33" s="311">
        <f>T34*Y35</f>
        <v>95.197332780237531</v>
      </c>
      <c r="Z33" s="311">
        <f>Y34*Z35</f>
        <v>122.13974189111295</v>
      </c>
      <c r="AA33" s="311">
        <f t="shared" ref="AA33:AH33" si="10">Z34*AA35</f>
        <v>141.05807391914485</v>
      </c>
      <c r="AB33" s="311">
        <f t="shared" si="10"/>
        <v>152.58696900358856</v>
      </c>
      <c r="AC33" s="311">
        <f t="shared" si="10"/>
        <v>164.95008720368418</v>
      </c>
      <c r="AD33" s="311">
        <f t="shared" si="10"/>
        <v>177.61396008310294</v>
      </c>
      <c r="AE33" s="311">
        <f t="shared" si="10"/>
        <v>190.70094582446166</v>
      </c>
      <c r="AF33" s="311">
        <f t="shared" si="10"/>
        <v>204.33045182794578</v>
      </c>
      <c r="AG33" s="311">
        <f t="shared" si="10"/>
        <v>218.6204451635939</v>
      </c>
      <c r="AH33" s="311">
        <f t="shared" si="10"/>
        <v>233.68884996044906</v>
      </c>
    </row>
    <row r="34" spans="1:34">
      <c r="B34" t="s">
        <v>352</v>
      </c>
      <c r="C34" s="5" t="s">
        <v>16</v>
      </c>
      <c r="D34" s="263">
        <f>BS!D15</f>
        <v>259.66199999999998</v>
      </c>
      <c r="E34" s="263">
        <f>BS!E15</f>
        <v>315.11200000000002</v>
      </c>
      <c r="F34" s="263">
        <f>BS!F15</f>
        <v>393.8</v>
      </c>
      <c r="G34" s="263">
        <f>BS!G15</f>
        <v>393.39400000000001</v>
      </c>
      <c r="H34" s="263">
        <f>BS!H15</f>
        <v>384.65199999999999</v>
      </c>
      <c r="I34" s="263">
        <f>BS!I15</f>
        <v>404.30700000000002</v>
      </c>
      <c r="J34" s="263">
        <f>BS!F15</f>
        <v>393.8</v>
      </c>
      <c r="K34" s="263">
        <f>[4]BS!K15</f>
        <v>477.916</v>
      </c>
      <c r="L34" s="263">
        <f>[4]BS!L15</f>
        <v>579.779</v>
      </c>
      <c r="M34" s="263">
        <f>[4]BS!M15</f>
        <v>599.77</v>
      </c>
      <c r="N34" s="263">
        <f>[4]BS!N15</f>
        <v>673.16700000000003</v>
      </c>
      <c r="O34" s="263">
        <f>BS!K15</f>
        <v>477.916</v>
      </c>
      <c r="P34" s="263">
        <f>[4]BS!P15</f>
        <v>706.78300000000002</v>
      </c>
      <c r="Q34" s="263">
        <f>[4]BS!Q15</f>
        <v>718.88599999999997</v>
      </c>
      <c r="R34" s="263">
        <f>[4]BS!R15</f>
        <v>0</v>
      </c>
      <c r="S34" s="263">
        <f>[4]BS!S15</f>
        <v>0</v>
      </c>
      <c r="T34" s="263">
        <f>BS!P15</f>
        <v>706.78300000000002</v>
      </c>
      <c r="U34" s="263">
        <v>719</v>
      </c>
      <c r="V34" s="263"/>
      <c r="W34" s="263"/>
      <c r="X34" s="263">
        <f>Y34</f>
        <v>906.81420027082288</v>
      </c>
      <c r="Y34" s="263">
        <f>T34+Y5-Y33</f>
        <v>906.81420027082288</v>
      </c>
      <c r="Z34" s="263">
        <f>Y34+Z5-Z33</f>
        <v>1047.271449179631</v>
      </c>
      <c r="AA34" s="263">
        <f t="shared" ref="AA34:AH34" si="11">Z34+AA5-AA33</f>
        <v>1132.8665684596951</v>
      </c>
      <c r="AB34" s="263">
        <f t="shared" si="11"/>
        <v>1224.6552931605215</v>
      </c>
      <c r="AC34" s="263">
        <f t="shared" si="11"/>
        <v>1318.6769406576909</v>
      </c>
      <c r="AD34" s="263">
        <f t="shared" si="11"/>
        <v>1415.8399469426204</v>
      </c>
      <c r="AE34" s="263">
        <f t="shared" si="11"/>
        <v>1517.0308402200453</v>
      </c>
      <c r="AF34" s="263">
        <f t="shared" si="11"/>
        <v>1623.1254551087313</v>
      </c>
      <c r="AG34" s="263">
        <f t="shared" si="11"/>
        <v>1734.9993074163517</v>
      </c>
      <c r="AH34" s="263">
        <f t="shared" si="11"/>
        <v>1791.8706296919859</v>
      </c>
    </row>
    <row r="35" spans="1:34">
      <c r="B35" t="s">
        <v>351</v>
      </c>
      <c r="C35" s="262" t="s">
        <v>128</v>
      </c>
      <c r="E35" s="279">
        <f>E33/D34</f>
        <v>9.435342868806372E-2</v>
      </c>
      <c r="F35" s="279">
        <f>F33/F34</f>
        <v>0</v>
      </c>
      <c r="G35" s="279">
        <f>G33/G34</f>
        <v>0</v>
      </c>
      <c r="H35" s="279">
        <f>H33/H34</f>
        <v>0</v>
      </c>
      <c r="I35" s="279">
        <f>I33/I34</f>
        <v>0</v>
      </c>
      <c r="J35" s="279">
        <f>J33/E34</f>
        <v>0.12956980375231664</v>
      </c>
      <c r="K35" s="279"/>
      <c r="L35" s="279"/>
      <c r="M35" s="279"/>
      <c r="N35" s="279"/>
      <c r="O35" s="279">
        <f t="shared" ref="O35:T35" si="12">O33/J34</f>
        <v>0.13546978161503301</v>
      </c>
      <c r="P35" s="279">
        <f t="shared" si="12"/>
        <v>3.5818009859473213E-2</v>
      </c>
      <c r="Q35" s="279">
        <f t="shared" si="12"/>
        <v>3.069962865160691E-2</v>
      </c>
      <c r="R35" s="279">
        <f t="shared" si="12"/>
        <v>2.9206195708354865E-2</v>
      </c>
      <c r="S35" s="279">
        <f t="shared" si="12"/>
        <v>1.7732598300273184E-2</v>
      </c>
      <c r="T35" s="279">
        <f t="shared" si="12"/>
        <v>0.13469103357075302</v>
      </c>
      <c r="U35" s="279"/>
      <c r="V35" s="315"/>
      <c r="W35" s="315"/>
      <c r="Y35" s="278">
        <f>T35</f>
        <v>0.13469103357075302</v>
      </c>
      <c r="Z35" s="278">
        <f>Y35</f>
        <v>0.13469103357075302</v>
      </c>
      <c r="AA35" s="278">
        <f t="shared" ref="AA35:AH35" si="13">Z35</f>
        <v>0.13469103357075302</v>
      </c>
      <c r="AB35" s="278">
        <f t="shared" si="13"/>
        <v>0.13469103357075302</v>
      </c>
      <c r="AC35" s="278">
        <f t="shared" si="13"/>
        <v>0.13469103357075302</v>
      </c>
      <c r="AD35" s="278">
        <f t="shared" si="13"/>
        <v>0.13469103357075302</v>
      </c>
      <c r="AE35" s="278">
        <f t="shared" si="13"/>
        <v>0.13469103357075302</v>
      </c>
      <c r="AF35" s="278">
        <f t="shared" si="13"/>
        <v>0.13469103357075302</v>
      </c>
      <c r="AG35" s="278">
        <f t="shared" si="13"/>
        <v>0.13469103357075302</v>
      </c>
      <c r="AH35" s="278">
        <f t="shared" si="13"/>
        <v>0.13469103357075302</v>
      </c>
    </row>
    <row r="36" spans="1:34">
      <c r="V36" s="277"/>
    </row>
    <row r="37" spans="1:34" s="274" customFormat="1">
      <c r="B37" s="274" t="s">
        <v>350</v>
      </c>
      <c r="C37" s="276" t="s">
        <v>16</v>
      </c>
      <c r="D37" s="275"/>
      <c r="E37" s="275"/>
      <c r="F37" s="275"/>
      <c r="G37" s="275"/>
      <c r="H37" s="275"/>
      <c r="I37" s="275"/>
      <c r="J37" s="275"/>
      <c r="K37" s="275"/>
      <c r="L37" s="275"/>
      <c r="M37" s="275"/>
      <c r="N37" s="275"/>
      <c r="O37" s="275"/>
      <c r="P37" s="275"/>
      <c r="Q37" s="275"/>
      <c r="R37" s="275"/>
      <c r="S37" s="275"/>
      <c r="T37" s="275"/>
      <c r="U37" s="275">
        <v>-52</v>
      </c>
      <c r="V37" s="275">
        <f>W37</f>
        <v>72.068789931199987</v>
      </c>
      <c r="W37" s="275">
        <f>X37</f>
        <v>72.068789931199987</v>
      </c>
      <c r="X37" s="275">
        <f>(Y37-U37)/3</f>
        <v>72.068789931199987</v>
      </c>
      <c r="Y37" s="275">
        <f>Y38+Y39+Y42</f>
        <v>164.20636979359995</v>
      </c>
      <c r="Z37" s="275">
        <f t="shared" ref="Z37:AH37" si="14">Z38+Z39+Z42</f>
        <v>162.18614430317467</v>
      </c>
      <c r="AA37" s="275">
        <f t="shared" si="14"/>
        <v>159.43381997708474</v>
      </c>
      <c r="AB37" s="275">
        <f t="shared" si="14"/>
        <v>157.21220063338046</v>
      </c>
      <c r="AC37" s="275">
        <f t="shared" si="14"/>
        <v>155.61543120377937</v>
      </c>
      <c r="AD37" s="275">
        <f t="shared" si="14"/>
        <v>154.60926736575396</v>
      </c>
      <c r="AE37" s="275">
        <f t="shared" si="14"/>
        <v>154.1630118043602</v>
      </c>
      <c r="AF37" s="275">
        <f t="shared" si="14"/>
        <v>154.24924799976066</v>
      </c>
      <c r="AG37" s="275">
        <f t="shared" si="14"/>
        <v>154.84359723794938</v>
      </c>
      <c r="AH37" s="275">
        <f t="shared" si="14"/>
        <v>155.9244969622552</v>
      </c>
    </row>
    <row r="38" spans="1:34" s="272" customFormat="1">
      <c r="B38" s="272" t="s">
        <v>349</v>
      </c>
      <c r="C38" s="273" t="s">
        <v>16</v>
      </c>
      <c r="D38" s="256">
        <v>0</v>
      </c>
      <c r="E38" s="256">
        <v>0</v>
      </c>
      <c r="F38" s="256">
        <v>0</v>
      </c>
      <c r="G38" s="256">
        <v>0</v>
      </c>
      <c r="H38" s="256">
        <v>0</v>
      </c>
      <c r="I38" s="256">
        <v>0</v>
      </c>
      <c r="J38" s="256">
        <v>0</v>
      </c>
      <c r="K38" s="256">
        <v>0</v>
      </c>
      <c r="L38" s="256">
        <v>0</v>
      </c>
      <c r="M38" s="256">
        <v>0</v>
      </c>
      <c r="N38" s="256">
        <v>0</v>
      </c>
      <c r="O38" s="256">
        <v>0</v>
      </c>
      <c r="P38" s="256">
        <v>0</v>
      </c>
      <c r="Q38" s="256">
        <v>0</v>
      </c>
      <c r="R38" s="256">
        <v>0</v>
      </c>
      <c r="S38" s="256">
        <v>0</v>
      </c>
      <c r="T38" s="256">
        <v>0</v>
      </c>
      <c r="U38" s="256">
        <f>0</f>
        <v>0</v>
      </c>
      <c r="V38" s="256">
        <f>0</f>
        <v>0</v>
      </c>
      <c r="W38" s="256">
        <f>0</f>
        <v>0</v>
      </c>
      <c r="X38" s="256">
        <f>0</f>
        <v>0</v>
      </c>
      <c r="Y38" s="256">
        <v>0</v>
      </c>
      <c r="Z38" s="256">
        <v>0</v>
      </c>
      <c r="AA38" s="256">
        <v>0</v>
      </c>
      <c r="AB38" s="256">
        <v>0</v>
      </c>
      <c r="AC38" s="256">
        <v>0</v>
      </c>
      <c r="AD38" s="256">
        <v>0</v>
      </c>
      <c r="AE38" s="256">
        <v>0</v>
      </c>
      <c r="AF38" s="256">
        <v>0</v>
      </c>
      <c r="AG38" s="256">
        <v>0</v>
      </c>
      <c r="AH38" s="256">
        <v>0</v>
      </c>
    </row>
    <row r="39" spans="1:34" s="249" customFormat="1">
      <c r="B39" s="249" t="s">
        <v>348</v>
      </c>
      <c r="C39" s="82" t="s">
        <v>16</v>
      </c>
      <c r="D39" s="271">
        <v>0</v>
      </c>
      <c r="E39" s="271">
        <v>0</v>
      </c>
      <c r="F39" s="271">
        <v>0</v>
      </c>
      <c r="G39" s="271">
        <v>0</v>
      </c>
      <c r="H39" s="271">
        <v>0</v>
      </c>
      <c r="I39" s="271">
        <v>0</v>
      </c>
      <c r="J39" s="271">
        <v>0</v>
      </c>
      <c r="K39" s="271">
        <v>0</v>
      </c>
      <c r="L39" s="271">
        <v>0</v>
      </c>
      <c r="M39" s="271">
        <v>0</v>
      </c>
      <c r="N39" s="271">
        <v>0</v>
      </c>
      <c r="O39" s="271">
        <v>0</v>
      </c>
      <c r="P39" s="271">
        <v>0</v>
      </c>
      <c r="Q39" s="271">
        <v>0</v>
      </c>
      <c r="R39" s="271">
        <v>0</v>
      </c>
      <c r="S39" s="271">
        <v>0</v>
      </c>
      <c r="T39" s="271">
        <v>0</v>
      </c>
      <c r="U39" s="270"/>
      <c r="Y39" s="269">
        <f>T40*Y41</f>
        <v>83.13861</v>
      </c>
      <c r="Z39" s="269">
        <f>Y40*Z41</f>
        <v>76.23810537</v>
      </c>
      <c r="AA39" s="269">
        <f t="shared" ref="AA39:AH39" si="15">Z40*AA41</f>
        <v>69.91034262429001</v>
      </c>
      <c r="AB39" s="269">
        <f t="shared" si="15"/>
        <v>64.107784186473936</v>
      </c>
      <c r="AC39" s="269">
        <f t="shared" si="15"/>
        <v>58.78683809899659</v>
      </c>
      <c r="AD39" s="269">
        <f t="shared" si="15"/>
        <v>53.90753053677988</v>
      </c>
      <c r="AE39" s="269">
        <f t="shared" si="15"/>
        <v>49.433205502227153</v>
      </c>
      <c r="AF39" s="269">
        <f t="shared" si="15"/>
        <v>45.3302494455423</v>
      </c>
      <c r="AG39" s="269">
        <f t="shared" si="15"/>
        <v>41.567838741562291</v>
      </c>
      <c r="AH39" s="269">
        <f t="shared" si="15"/>
        <v>38.117708126012623</v>
      </c>
    </row>
    <row r="40" spans="1:34">
      <c r="B40" t="s">
        <v>347</v>
      </c>
      <c r="C40" s="5" t="s">
        <v>16</v>
      </c>
      <c r="D40" s="250">
        <v>0</v>
      </c>
      <c r="E40" s="250">
        <v>0</v>
      </c>
      <c r="F40" s="250">
        <v>0</v>
      </c>
      <c r="G40" s="250">
        <v>0</v>
      </c>
      <c r="H40" s="250">
        <v>0</v>
      </c>
      <c r="I40" s="250">
        <v>0</v>
      </c>
      <c r="J40" s="250">
        <v>0</v>
      </c>
      <c r="O40" s="268">
        <v>915.56</v>
      </c>
      <c r="P40" s="104"/>
      <c r="Q40" s="104"/>
      <c r="R40" s="268"/>
      <c r="S40" s="268"/>
      <c r="T40" s="268">
        <v>1001.67</v>
      </c>
      <c r="Y40" s="234">
        <f>T40+Y24-Y39</f>
        <v>918.53138999999999</v>
      </c>
      <c r="Z40" s="234">
        <f>Y40+Z24-Z39</f>
        <v>842.29328463000002</v>
      </c>
      <c r="AA40" s="234">
        <f t="shared" ref="AA40:AH40" si="16">Z40+AA24-AA39</f>
        <v>772.38294200570999</v>
      </c>
      <c r="AB40" s="234">
        <f t="shared" si="16"/>
        <v>708.27515781923603</v>
      </c>
      <c r="AC40" s="234">
        <f t="shared" si="16"/>
        <v>649.48831972023947</v>
      </c>
      <c r="AD40" s="234">
        <f t="shared" si="16"/>
        <v>595.58078918345961</v>
      </c>
      <c r="AE40" s="234">
        <f t="shared" si="16"/>
        <v>546.1475836812325</v>
      </c>
      <c r="AF40" s="234">
        <f t="shared" si="16"/>
        <v>500.81733423569023</v>
      </c>
      <c r="AG40" s="234">
        <f t="shared" si="16"/>
        <v>459.24949549412793</v>
      </c>
      <c r="AH40" s="234">
        <f t="shared" si="16"/>
        <v>421.13178736811528</v>
      </c>
    </row>
    <row r="41" spans="1:34" s="264" customFormat="1">
      <c r="B41" s="264" t="s">
        <v>344</v>
      </c>
      <c r="C41" s="267" t="s">
        <v>128</v>
      </c>
      <c r="D41" s="266">
        <v>0</v>
      </c>
      <c r="E41" s="266">
        <v>0</v>
      </c>
      <c r="F41" s="266">
        <v>0</v>
      </c>
      <c r="G41" s="266">
        <v>0</v>
      </c>
      <c r="H41" s="266">
        <v>0</v>
      </c>
      <c r="I41" s="266">
        <v>0</v>
      </c>
      <c r="J41" s="266">
        <v>0</v>
      </c>
      <c r="K41" s="266">
        <v>0</v>
      </c>
      <c r="L41" s="266">
        <v>0</v>
      </c>
      <c r="M41" s="266">
        <v>0</v>
      </c>
      <c r="N41" s="266">
        <v>0</v>
      </c>
      <c r="O41" s="266">
        <v>0</v>
      </c>
      <c r="P41" s="266">
        <v>0</v>
      </c>
      <c r="Q41" s="266">
        <v>0</v>
      </c>
      <c r="R41" s="266">
        <v>0</v>
      </c>
      <c r="S41" s="266">
        <v>0</v>
      </c>
      <c r="T41" s="266">
        <v>0</v>
      </c>
      <c r="Y41" s="265">
        <v>8.3000000000000004E-2</v>
      </c>
      <c r="Z41" s="265">
        <v>8.3000000000000004E-2</v>
      </c>
      <c r="AA41" s="265">
        <v>8.3000000000000004E-2</v>
      </c>
      <c r="AB41" s="265">
        <v>8.3000000000000004E-2</v>
      </c>
      <c r="AC41" s="265">
        <v>8.3000000000000004E-2</v>
      </c>
      <c r="AD41" s="265">
        <v>8.3000000000000004E-2</v>
      </c>
      <c r="AE41" s="265">
        <v>8.3000000000000004E-2</v>
      </c>
      <c r="AF41" s="265">
        <v>8.3000000000000004E-2</v>
      </c>
      <c r="AG41" s="265">
        <v>8.3000000000000004E-2</v>
      </c>
      <c r="AH41" s="265">
        <v>8.3000000000000004E-2</v>
      </c>
    </row>
    <row r="42" spans="1:34">
      <c r="B42" t="s">
        <v>346</v>
      </c>
      <c r="O42" s="263">
        <v>21.349</v>
      </c>
      <c r="P42" s="263"/>
      <c r="Q42" s="263"/>
      <c r="R42" s="263"/>
      <c r="S42" s="263"/>
      <c r="T42" s="263">
        <v>34.811000000000007</v>
      </c>
      <c r="Y42" s="250">
        <f>T43*Y44</f>
        <v>81.067759793599947</v>
      </c>
      <c r="Z42" s="250">
        <f>Y43*Z44</f>
        <v>85.948038933174672</v>
      </c>
      <c r="AA42" s="250">
        <f t="shared" ref="AA42:AH42" si="17">Z43*AA44</f>
        <v>89.523477352794728</v>
      </c>
      <c r="AB42" s="250">
        <f t="shared" si="17"/>
        <v>93.104416446906512</v>
      </c>
      <c r="AC42" s="250">
        <f t="shared" si="17"/>
        <v>96.828593104782769</v>
      </c>
      <c r="AD42" s="250">
        <f t="shared" si="17"/>
        <v>100.70173682897408</v>
      </c>
      <c r="AE42" s="250">
        <f t="shared" si="17"/>
        <v>104.72980630213304</v>
      </c>
      <c r="AF42" s="250">
        <f t="shared" si="17"/>
        <v>108.91899855421836</v>
      </c>
      <c r="AG42" s="250">
        <f t="shared" si="17"/>
        <v>113.2757584963871</v>
      </c>
      <c r="AH42" s="250">
        <f t="shared" si="17"/>
        <v>117.80678883624257</v>
      </c>
    </row>
    <row r="43" spans="1:34">
      <c r="B43" t="s">
        <v>345</v>
      </c>
      <c r="D43" s="250">
        <f t="shared" ref="D43:T43" si="18">D27</f>
        <v>0</v>
      </c>
      <c r="E43" s="250">
        <f t="shared" si="18"/>
        <v>0</v>
      </c>
      <c r="F43" s="250">
        <f t="shared" si="18"/>
        <v>0</v>
      </c>
      <c r="G43" s="250">
        <f t="shared" si="18"/>
        <v>0</v>
      </c>
      <c r="H43" s="250">
        <f t="shared" si="18"/>
        <v>0</v>
      </c>
      <c r="I43" s="250">
        <f t="shared" si="18"/>
        <v>0</v>
      </c>
      <c r="J43" s="250">
        <f t="shared" si="18"/>
        <v>124.07399999999984</v>
      </c>
      <c r="K43" s="250">
        <f t="shared" si="18"/>
        <v>0</v>
      </c>
      <c r="L43" s="250">
        <f t="shared" si="18"/>
        <v>0</v>
      </c>
      <c r="M43" s="250">
        <f t="shared" si="18"/>
        <v>0</v>
      </c>
      <c r="N43" s="250">
        <f t="shared" si="18"/>
        <v>0</v>
      </c>
      <c r="O43" s="250">
        <f t="shared" si="18"/>
        <v>153.8760000000002</v>
      </c>
      <c r="P43" s="250">
        <f t="shared" si="18"/>
        <v>0</v>
      </c>
      <c r="Q43" s="250">
        <f t="shared" si="18"/>
        <v>0</v>
      </c>
      <c r="R43" s="250">
        <f t="shared" si="18"/>
        <v>0</v>
      </c>
      <c r="S43" s="250">
        <f t="shared" si="18"/>
        <v>0</v>
      </c>
      <c r="T43" s="250">
        <f t="shared" si="18"/>
        <v>358.346</v>
      </c>
      <c r="U43" s="250"/>
      <c r="V43" s="250"/>
      <c r="W43" s="250"/>
      <c r="X43" s="250"/>
      <c r="Y43" s="250">
        <f t="shared" ref="Y43:AH43" si="19">Y27</f>
        <v>379.91842919999999</v>
      </c>
      <c r="Z43" s="250">
        <f t="shared" si="19"/>
        <v>395.72303585471997</v>
      </c>
      <c r="AA43" s="250">
        <f t="shared" si="19"/>
        <v>411.55195728890874</v>
      </c>
      <c r="AB43" s="250">
        <f t="shared" si="19"/>
        <v>428.01403558046508</v>
      </c>
      <c r="AC43" s="250">
        <f t="shared" si="19"/>
        <v>445.13459700368367</v>
      </c>
      <c r="AD43" s="250">
        <f t="shared" si="19"/>
        <v>462.93998088383103</v>
      </c>
      <c r="AE43" s="250">
        <f t="shared" si="19"/>
        <v>481.45758011918429</v>
      </c>
      <c r="AF43" s="250">
        <f t="shared" si="19"/>
        <v>500.71588332395163</v>
      </c>
      <c r="AG43" s="250">
        <f t="shared" si="19"/>
        <v>520.74451865690969</v>
      </c>
      <c r="AH43" s="250">
        <f t="shared" si="19"/>
        <v>541.57429940318605</v>
      </c>
    </row>
    <row r="44" spans="1:34" s="78" customFormat="1">
      <c r="B44" s="78" t="s">
        <v>344</v>
      </c>
      <c r="C44" s="262" t="s">
        <v>128</v>
      </c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150">
        <f>O42/J43</f>
        <v>0.17206666989054942</v>
      </c>
      <c r="P44" s="150"/>
      <c r="Q44" s="150"/>
      <c r="R44" s="150"/>
      <c r="S44" s="150"/>
      <c r="T44" s="150">
        <f>T42/O43</f>
        <v>0.22622761184330215</v>
      </c>
      <c r="Y44" s="259">
        <f>T44</f>
        <v>0.22622761184330215</v>
      </c>
      <c r="Z44" s="259">
        <f>Y44</f>
        <v>0.22622761184330215</v>
      </c>
      <c r="AA44" s="259">
        <f t="shared" ref="AA44:AH44" si="20">Z44</f>
        <v>0.22622761184330215</v>
      </c>
      <c r="AB44" s="259">
        <f t="shared" si="20"/>
        <v>0.22622761184330215</v>
      </c>
      <c r="AC44" s="259">
        <f t="shared" si="20"/>
        <v>0.22622761184330215</v>
      </c>
      <c r="AD44" s="259">
        <f t="shared" si="20"/>
        <v>0.22622761184330215</v>
      </c>
      <c r="AE44" s="259">
        <f t="shared" si="20"/>
        <v>0.22622761184330215</v>
      </c>
      <c r="AF44" s="259">
        <f t="shared" si="20"/>
        <v>0.22622761184330215</v>
      </c>
      <c r="AG44" s="259">
        <f t="shared" si="20"/>
        <v>0.22622761184330215</v>
      </c>
      <c r="AH44" s="259">
        <f t="shared" si="20"/>
        <v>0.22622761184330215</v>
      </c>
    </row>
    <row r="45" spans="1:34" s="78" customFormat="1">
      <c r="C45" s="262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150"/>
      <c r="P45" s="150"/>
      <c r="Q45" s="150"/>
      <c r="R45" s="150"/>
      <c r="S45" s="150"/>
      <c r="T45" s="150"/>
      <c r="U45" s="260"/>
      <c r="Y45" s="259"/>
      <c r="Z45" s="259"/>
      <c r="AA45" s="259"/>
      <c r="AB45" s="259"/>
      <c r="AC45" s="259"/>
      <c r="AD45" s="259"/>
      <c r="AE45" s="259"/>
      <c r="AF45" s="259"/>
      <c r="AG45" s="259"/>
      <c r="AH45" s="259"/>
    </row>
    <row r="46" spans="1:34" s="256" customFormat="1">
      <c r="B46" s="256" t="s">
        <v>343</v>
      </c>
      <c r="C46" s="258" t="s">
        <v>16</v>
      </c>
      <c r="O46" s="257"/>
      <c r="P46" s="257"/>
      <c r="Q46" s="257"/>
      <c r="R46" s="257"/>
      <c r="S46" s="257"/>
      <c r="T46" s="257"/>
      <c r="U46" s="256">
        <f>[4]IS!U21</f>
        <v>60.3</v>
      </c>
      <c r="V46" s="256">
        <f t="shared" ref="V46:W46" si="21">V37+V33</f>
        <v>97.501234191279167</v>
      </c>
      <c r="W46" s="256">
        <f t="shared" si="21"/>
        <v>97.501234191279167</v>
      </c>
      <c r="X46" s="256">
        <f>X37+X33</f>
        <v>97.501234191279167</v>
      </c>
      <c r="Y46" s="256">
        <f>Y33+Y37</f>
        <v>259.40370257383745</v>
      </c>
      <c r="Z46" s="256">
        <f t="shared" ref="Z46:AH46" si="22">Z33+Z37</f>
        <v>284.32588619428759</v>
      </c>
      <c r="AA46" s="256">
        <f t="shared" si="22"/>
        <v>300.49189389622961</v>
      </c>
      <c r="AB46" s="256">
        <f t="shared" si="22"/>
        <v>309.79916963696905</v>
      </c>
      <c r="AC46" s="256">
        <f t="shared" si="22"/>
        <v>320.56551840746351</v>
      </c>
      <c r="AD46" s="256">
        <f t="shared" si="22"/>
        <v>332.2232274488569</v>
      </c>
      <c r="AE46" s="256">
        <f t="shared" si="22"/>
        <v>344.86395762882182</v>
      </c>
      <c r="AF46" s="256">
        <f t="shared" si="22"/>
        <v>358.57969982770646</v>
      </c>
      <c r="AG46" s="256">
        <f t="shared" si="22"/>
        <v>373.46404240154328</v>
      </c>
      <c r="AH46" s="256">
        <f t="shared" si="22"/>
        <v>389.6133469227043</v>
      </c>
    </row>
    <row r="47" spans="1:34">
      <c r="U47" s="255"/>
      <c r="X47" s="250"/>
      <c r="Y47" s="250"/>
    </row>
    <row r="48" spans="1:34">
      <c r="A48" s="7"/>
      <c r="B48" s="30" t="s">
        <v>342</v>
      </c>
      <c r="C48" s="2" t="s">
        <v>16</v>
      </c>
      <c r="D48" s="6"/>
      <c r="E48" s="6"/>
      <c r="F48" s="8"/>
      <c r="G48" s="8"/>
      <c r="H48" s="8"/>
      <c r="I48" s="8"/>
      <c r="J48" s="6"/>
      <c r="K48" s="8"/>
      <c r="L48" s="8"/>
      <c r="M48" s="8"/>
      <c r="N48" s="8"/>
      <c r="O48" s="6"/>
      <c r="P48" s="8"/>
      <c r="Q48" s="8"/>
      <c r="R48" s="8"/>
      <c r="S48" s="8"/>
      <c r="T48" s="6"/>
      <c r="U48" s="64"/>
      <c r="V48" s="63"/>
      <c r="W48" s="63"/>
      <c r="X48" s="63"/>
      <c r="Y48" s="37"/>
      <c r="Z48" s="37"/>
      <c r="AA48" s="37"/>
      <c r="AB48" s="37"/>
      <c r="AC48" s="37"/>
      <c r="AD48" s="37"/>
      <c r="AE48" s="37"/>
      <c r="AF48" s="37"/>
      <c r="AG48" s="37"/>
      <c r="AH48" s="37"/>
    </row>
    <row r="49" spans="2:34">
      <c r="U49" s="254"/>
    </row>
    <row r="50" spans="2:34" s="253" customFormat="1">
      <c r="B50" s="253" t="s">
        <v>341</v>
      </c>
      <c r="C50" s="252" t="s">
        <v>16</v>
      </c>
      <c r="T50" s="253">
        <f>[4]BS!P15</f>
        <v>706.78300000000002</v>
      </c>
      <c r="U50" s="253">
        <f>[4]BS!Q15</f>
        <v>718.88599999999997</v>
      </c>
      <c r="V50" s="253">
        <f>U50+V5-V33</f>
        <v>781.52973342360758</v>
      </c>
      <c r="W50" s="253">
        <f>V50+W5-W33</f>
        <v>844.1734668472152</v>
      </c>
      <c r="X50" s="253">
        <f>Y50</f>
        <v>906.81420027082288</v>
      </c>
      <c r="Y50" s="253">
        <f>Y34</f>
        <v>906.81420027082288</v>
      </c>
      <c r="Z50" s="253">
        <f t="shared" ref="Z50:AH50" si="23">Z34</f>
        <v>1047.271449179631</v>
      </c>
      <c r="AA50" s="253">
        <f t="shared" si="23"/>
        <v>1132.8665684596951</v>
      </c>
      <c r="AB50" s="253">
        <f t="shared" si="23"/>
        <v>1224.6552931605215</v>
      </c>
      <c r="AC50" s="253">
        <f t="shared" si="23"/>
        <v>1318.6769406576909</v>
      </c>
      <c r="AD50" s="253">
        <f t="shared" si="23"/>
        <v>1415.8399469426204</v>
      </c>
      <c r="AE50" s="253">
        <f t="shared" si="23"/>
        <v>1517.0308402200453</v>
      </c>
      <c r="AF50" s="253">
        <f t="shared" si="23"/>
        <v>1623.1254551087313</v>
      </c>
      <c r="AG50" s="253">
        <f t="shared" si="23"/>
        <v>1734.9993074163517</v>
      </c>
      <c r="AH50" s="253">
        <f t="shared" si="23"/>
        <v>1791.8706296919859</v>
      </c>
    </row>
    <row r="51" spans="2:34" s="250" customFormat="1"/>
    <row r="52" spans="2:34" s="253" customFormat="1">
      <c r="B52" s="253" t="s">
        <v>340</v>
      </c>
      <c r="C52" s="252" t="s">
        <v>16</v>
      </c>
      <c r="T52" s="253">
        <f>[4]BS!P16</f>
        <v>3914.4639999999999</v>
      </c>
      <c r="U52" s="253">
        <f>[4]BS!Q16</f>
        <v>3979.82</v>
      </c>
      <c r="V52" s="253">
        <f>U52+V20-V37</f>
        <v>3937.6312730666668</v>
      </c>
      <c r="W52" s="253">
        <f>V52+W20-W37</f>
        <v>3895.4425461333335</v>
      </c>
      <c r="X52" s="253">
        <f>Y52</f>
        <v>3852.8978192</v>
      </c>
      <c r="Y52" s="253">
        <f>T52+Y20-Y37</f>
        <v>3852.8978192</v>
      </c>
      <c r="Z52" s="253">
        <f>Y52+Z20-Z37</f>
        <v>3792.4643204847198</v>
      </c>
      <c r="AA52" s="253">
        <f t="shared" ref="AA52:AH52" si="24">Z52+AA20-AA37</f>
        <v>3738.3828992946187</v>
      </c>
      <c r="AB52" s="253">
        <f t="shared" si="24"/>
        <v>3690.737193399701</v>
      </c>
      <c r="AC52" s="253">
        <f t="shared" si="24"/>
        <v>3649.0709167239233</v>
      </c>
      <c r="AD52" s="253">
        <f t="shared" si="24"/>
        <v>3612.9687700672907</v>
      </c>
      <c r="AE52" s="253">
        <f t="shared" si="24"/>
        <v>3582.0531638004168</v>
      </c>
      <c r="AF52" s="253">
        <f t="shared" si="24"/>
        <v>3555.9812175596417</v>
      </c>
      <c r="AG52" s="253">
        <f t="shared" si="24"/>
        <v>3534.4420141510377</v>
      </c>
      <c r="AH52" s="253">
        <f t="shared" si="24"/>
        <v>3517.1540867713015</v>
      </c>
    </row>
    <row r="54" spans="2:34" s="11" customFormat="1">
      <c r="B54" s="11" t="s">
        <v>339</v>
      </c>
      <c r="C54" s="252" t="s">
        <v>16</v>
      </c>
      <c r="U54" s="251">
        <f t="shared" ref="U54:X54" si="25">U5+U20</f>
        <v>44</v>
      </c>
      <c r="V54" s="251">
        <f t="shared" si="25"/>
        <v>117.95624068155344</v>
      </c>
      <c r="W54" s="251">
        <f t="shared" si="25"/>
        <v>117.95624068155344</v>
      </c>
      <c r="X54" s="251">
        <f t="shared" si="25"/>
        <v>117.95624068155344</v>
      </c>
      <c r="Y54" s="251">
        <f>Y5+Y20</f>
        <v>397.86872204466033</v>
      </c>
      <c r="Z54" s="251">
        <f t="shared" ref="Z54:AH54" si="26">Z5+Z20</f>
        <v>364.34963638781574</v>
      </c>
      <c r="AA54" s="251">
        <f t="shared" si="26"/>
        <v>332.00559198619248</v>
      </c>
      <c r="AB54" s="251">
        <f t="shared" si="26"/>
        <v>353.94218844287786</v>
      </c>
      <c r="AC54" s="251">
        <f t="shared" si="26"/>
        <v>372.92088922885506</v>
      </c>
      <c r="AD54" s="251">
        <f t="shared" si="26"/>
        <v>393.28408707715374</v>
      </c>
      <c r="AE54" s="251">
        <f t="shared" si="26"/>
        <v>415.13924463937292</v>
      </c>
      <c r="AF54" s="251">
        <f t="shared" si="26"/>
        <v>438.60236847561754</v>
      </c>
      <c r="AG54" s="251">
        <f t="shared" si="26"/>
        <v>463.79869130055943</v>
      </c>
      <c r="AH54" s="251">
        <f t="shared" si="26"/>
        <v>429.19674181860222</v>
      </c>
    </row>
    <row r="55" spans="2:34">
      <c r="Y55" s="191"/>
    </row>
    <row r="56" spans="2:34">
      <c r="V56" s="191"/>
    </row>
    <row r="57" spans="2:34">
      <c r="V57" s="250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8457-E2D9-4022-A75C-BE47A3695F06}">
  <dimension ref="A1:R25"/>
  <sheetViews>
    <sheetView showGridLines="0" tabSelected="1" zoomScaleNormal="100" workbookViewId="0">
      <pane xSplit="3" ySplit="4" topLeftCell="G5" activePane="bottomRight" state="frozen"/>
      <selection pane="topRight" activeCell="D1" sqref="D1"/>
      <selection pane="bottomLeft" activeCell="A5" sqref="A5"/>
      <selection pane="bottomRight" activeCell="F15" sqref="F15"/>
    </sheetView>
  </sheetViews>
  <sheetFormatPr defaultRowHeight="14.4" outlineLevelCol="1"/>
  <cols>
    <col min="1" max="1" width="2.109375" customWidth="1"/>
    <col min="2" max="2" width="46.6640625" customWidth="1"/>
    <col min="3" max="3" width="53.44140625" customWidth="1"/>
    <col min="5" max="8" width="9.109375" customWidth="1" outlineLevel="1"/>
  </cols>
  <sheetData>
    <row r="1" spans="1:18">
      <c r="D1" s="5"/>
      <c r="E1" s="5"/>
      <c r="F1" s="5"/>
      <c r="G1" s="5"/>
      <c r="H1" s="5"/>
    </row>
    <row r="2" spans="1:18">
      <c r="D2" s="5"/>
      <c r="E2" s="5"/>
      <c r="F2" s="5"/>
      <c r="G2" s="5"/>
      <c r="H2" s="5"/>
    </row>
    <row r="3" spans="1:18">
      <c r="D3" s="5"/>
      <c r="E3" s="5"/>
      <c r="F3" s="5"/>
      <c r="G3" s="5"/>
      <c r="H3" s="5"/>
    </row>
    <row r="4" spans="1:18">
      <c r="A4" s="7"/>
      <c r="B4" s="30" t="s">
        <v>394</v>
      </c>
      <c r="C4" s="302" t="s">
        <v>393</v>
      </c>
      <c r="D4" s="6">
        <v>2022</v>
      </c>
      <c r="E4" s="64" t="s">
        <v>100</v>
      </c>
      <c r="F4" s="63" t="s">
        <v>101</v>
      </c>
      <c r="G4" s="63" t="s">
        <v>102</v>
      </c>
      <c r="H4" s="63" t="s">
        <v>103</v>
      </c>
      <c r="I4" s="37">
        <v>2023</v>
      </c>
      <c r="J4" s="37">
        <v>2024</v>
      </c>
      <c r="K4" s="37">
        <v>2025</v>
      </c>
      <c r="L4" s="37">
        <v>2026</v>
      </c>
      <c r="M4" s="37">
        <v>2027</v>
      </c>
      <c r="N4" s="37">
        <v>2028</v>
      </c>
      <c r="O4" s="37">
        <v>2029</v>
      </c>
      <c r="P4" s="37">
        <v>2030</v>
      </c>
      <c r="Q4" s="37">
        <v>2031</v>
      </c>
      <c r="R4" s="37">
        <v>2032</v>
      </c>
    </row>
    <row r="5" spans="1:18">
      <c r="B5" s="29" t="s">
        <v>392</v>
      </c>
      <c r="C5" s="299" t="s">
        <v>391</v>
      </c>
      <c r="E5" s="250">
        <v>64.296000000000006</v>
      </c>
      <c r="F5" s="250">
        <v>64.296000000000006</v>
      </c>
      <c r="G5" s="250">
        <v>64.296000000000006</v>
      </c>
      <c r="H5" s="250">
        <v>64.296000000000006</v>
      </c>
      <c r="I5" s="250">
        <v>64.296000000000006</v>
      </c>
      <c r="J5" s="250">
        <v>64.296000000000006</v>
      </c>
      <c r="K5" s="250">
        <v>64.296000000000006</v>
      </c>
      <c r="L5" s="250">
        <v>64.296000000000006</v>
      </c>
      <c r="M5" s="250">
        <v>64.296000000000006</v>
      </c>
      <c r="N5" s="250">
        <v>64.296000000000006</v>
      </c>
      <c r="O5" s="250">
        <v>64.296000000000006</v>
      </c>
      <c r="P5" s="250">
        <v>64.296000000000006</v>
      </c>
      <c r="Q5" s="250">
        <v>64.296000000000006</v>
      </c>
      <c r="R5" s="250">
        <v>64.296000000000006</v>
      </c>
    </row>
    <row r="6" spans="1:18">
      <c r="B6" s="29" t="s">
        <v>390</v>
      </c>
      <c r="C6" s="299" t="s">
        <v>389</v>
      </c>
      <c r="E6" s="250">
        <v>710.52300000000002</v>
      </c>
      <c r="F6" s="250">
        <v>710.52300000000002</v>
      </c>
      <c r="G6" s="250">
        <v>710.52300000000002</v>
      </c>
      <c r="H6" s="250">
        <v>710.52300000000002</v>
      </c>
      <c r="I6" s="250">
        <v>710.52300000000002</v>
      </c>
      <c r="J6" s="250">
        <v>710.52300000000002</v>
      </c>
      <c r="K6" s="250">
        <v>710.52300000000002</v>
      </c>
      <c r="L6" s="250">
        <v>710.52300000000002</v>
      </c>
      <c r="M6" s="250">
        <v>710.52300000000002</v>
      </c>
      <c r="N6" s="250">
        <v>710.52300000000002</v>
      </c>
      <c r="O6" s="250">
        <v>710.52300000000002</v>
      </c>
      <c r="P6" s="250">
        <v>710.52300000000002</v>
      </c>
      <c r="Q6" s="250">
        <v>710.52300000000002</v>
      </c>
      <c r="R6" s="250">
        <v>710.52300000000002</v>
      </c>
    </row>
    <row r="7" spans="1:18">
      <c r="B7" s="29" t="s">
        <v>388</v>
      </c>
      <c r="C7" s="299" t="s">
        <v>387</v>
      </c>
      <c r="E7" s="250">
        <v>499.11</v>
      </c>
      <c r="F7" s="250">
        <v>499.11</v>
      </c>
      <c r="G7" s="250">
        <v>499.11</v>
      </c>
      <c r="H7" s="250">
        <v>499.11</v>
      </c>
      <c r="I7" s="250">
        <v>499.11</v>
      </c>
      <c r="J7" s="250">
        <v>499.11</v>
      </c>
      <c r="K7" s="250">
        <v>499.11</v>
      </c>
      <c r="L7" s="250">
        <v>499.11</v>
      </c>
      <c r="M7" s="250">
        <v>499.11</v>
      </c>
      <c r="N7" s="250">
        <v>499.11</v>
      </c>
      <c r="O7" s="250">
        <v>499.11</v>
      </c>
      <c r="P7" s="250">
        <v>499.11</v>
      </c>
      <c r="Q7" s="250">
        <v>499.11</v>
      </c>
      <c r="R7" s="250">
        <v>499.11</v>
      </c>
    </row>
    <row r="8" spans="1:18">
      <c r="B8" s="29" t="s">
        <v>386</v>
      </c>
      <c r="C8" s="299" t="s">
        <v>385</v>
      </c>
      <c r="E8" s="250">
        <v>366.77100000000002</v>
      </c>
      <c r="F8" s="250">
        <v>366.77100000000002</v>
      </c>
      <c r="G8" s="250">
        <v>366.77100000000002</v>
      </c>
      <c r="H8" s="250">
        <v>366.77100000000002</v>
      </c>
      <c r="I8" s="250">
        <v>366.77100000000002</v>
      </c>
      <c r="J8" s="250">
        <v>366.77100000000002</v>
      </c>
      <c r="K8" s="250">
        <v>366.77100000000002</v>
      </c>
      <c r="L8" s="250">
        <v>366.77100000000002</v>
      </c>
      <c r="M8" s="250">
        <v>366.77100000000002</v>
      </c>
      <c r="N8" s="250">
        <v>366.77100000000002</v>
      </c>
      <c r="O8" s="250">
        <v>366.77100000000002</v>
      </c>
      <c r="P8" s="250">
        <v>366.77100000000002</v>
      </c>
      <c r="Q8" s="250">
        <v>366.77100000000002</v>
      </c>
      <c r="R8" s="250">
        <v>366.77100000000002</v>
      </c>
    </row>
    <row r="9" spans="1:18">
      <c r="B9" s="29" t="s">
        <v>384</v>
      </c>
      <c r="C9" s="299" t="s">
        <v>383</v>
      </c>
      <c r="E9" s="250">
        <v>55.253</v>
      </c>
      <c r="F9" s="250">
        <v>55.253</v>
      </c>
      <c r="G9" s="250">
        <v>55.253</v>
      </c>
      <c r="H9" s="250">
        <v>55.253</v>
      </c>
      <c r="I9" s="250">
        <v>55.253</v>
      </c>
      <c r="J9" s="250">
        <v>55.253</v>
      </c>
      <c r="K9" s="250">
        <v>55.253</v>
      </c>
      <c r="L9" s="250">
        <v>55.253</v>
      </c>
      <c r="M9" s="250">
        <v>55.253</v>
      </c>
      <c r="N9" s="250">
        <v>55.253</v>
      </c>
      <c r="O9" s="250">
        <v>55.253</v>
      </c>
      <c r="P9" s="250">
        <v>55.253</v>
      </c>
      <c r="Q9" s="250">
        <v>55.253</v>
      </c>
      <c r="R9" s="250">
        <v>55.253</v>
      </c>
    </row>
    <row r="10" spans="1:18" s="38" customFormat="1">
      <c r="B10" s="301" t="s">
        <v>382</v>
      </c>
      <c r="C10" s="300" t="s">
        <v>381</v>
      </c>
      <c r="E10" s="280">
        <v>1791.68</v>
      </c>
      <c r="F10" s="280">
        <v>1791.68</v>
      </c>
      <c r="G10" s="280">
        <v>1791.68</v>
      </c>
      <c r="H10" s="280">
        <v>1791.68</v>
      </c>
      <c r="I10" s="280">
        <v>1791.68</v>
      </c>
      <c r="J10" s="280">
        <v>1791.68</v>
      </c>
      <c r="K10" s="280">
        <v>1791.68</v>
      </c>
      <c r="L10" s="280">
        <v>1791.68</v>
      </c>
      <c r="M10" s="280">
        <v>1791.68</v>
      </c>
      <c r="N10" s="280">
        <v>1791.68</v>
      </c>
      <c r="O10" s="280">
        <v>1791.68</v>
      </c>
      <c r="P10" s="280">
        <v>1791.68</v>
      </c>
      <c r="Q10" s="280">
        <v>1791.68</v>
      </c>
      <c r="R10" s="280">
        <v>1791.68</v>
      </c>
    </row>
    <row r="11" spans="1:18">
      <c r="B11" s="29"/>
      <c r="C11" s="299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</row>
    <row r="12" spans="1:18" s="38" customFormat="1">
      <c r="B12" s="301" t="s">
        <v>380</v>
      </c>
      <c r="C12" s="300" t="s">
        <v>379</v>
      </c>
      <c r="E12" s="280">
        <f>-[4]IS!U24</f>
        <v>175.739</v>
      </c>
      <c r="F12" s="280">
        <f>G12</f>
        <v>115.80198333333333</v>
      </c>
      <c r="G12" s="280">
        <f>H12</f>
        <v>115.80198333333333</v>
      </c>
      <c r="H12" s="280">
        <f>(I12-E12)/3</f>
        <v>115.80198333333333</v>
      </c>
      <c r="I12" s="280">
        <f>SUM(I5:I10)*(0.025+'Macro and Sector Data'!U7)</f>
        <v>523.14494999999999</v>
      </c>
      <c r="J12" s="280">
        <f>SUM(J5:J10)*(0.025+'Macro and Sector Data'!V7)</f>
        <v>435.95412499999998</v>
      </c>
      <c r="K12" s="280">
        <f>SUM(K5:K10)*(0.025+'Macro and Sector Data'!W7)</f>
        <v>401.07779499999992</v>
      </c>
      <c r="L12" s="280">
        <f>SUM(L5:L10)*(0.025+'Macro and Sector Data'!X7)</f>
        <v>401.07779499999992</v>
      </c>
      <c r="M12" s="280">
        <f>SUM(M5:M10)*(0.025+'Macro and Sector Data'!Y7)</f>
        <v>401.07779499999992</v>
      </c>
      <c r="N12" s="280">
        <f>SUM(N5:N10)*(0.025+'Macro and Sector Data'!Z7)</f>
        <v>401.07779499999992</v>
      </c>
      <c r="O12" s="280">
        <f>SUM(O5:O10)*(0.025+'Macro and Sector Data'!AA7)</f>
        <v>401.07779499999992</v>
      </c>
      <c r="P12" s="280">
        <f>SUM(P5:P10)*(0.025+'Macro and Sector Data'!AB7)</f>
        <v>401.07779499999992</v>
      </c>
      <c r="Q12" s="280">
        <f>SUM(Q5:Q10)*(0.025+'Macro and Sector Data'!AC7)</f>
        <v>401.07779499999992</v>
      </c>
      <c r="R12" s="280">
        <f>SUM(R5:R10)*(0.025+'Macro and Sector Data'!AD7)</f>
        <v>401.07779499999992</v>
      </c>
    </row>
    <row r="13" spans="1:18">
      <c r="B13" s="29"/>
      <c r="C13" s="299"/>
      <c r="E13" s="250"/>
      <c r="F13" s="250"/>
      <c r="G13" s="250"/>
      <c r="H13" s="250"/>
      <c r="I13" s="250"/>
      <c r="J13" s="250"/>
      <c r="L13" s="250"/>
      <c r="M13" s="250"/>
      <c r="N13" s="250"/>
      <c r="O13" s="250"/>
      <c r="P13" s="250"/>
      <c r="Q13" s="250"/>
      <c r="R13" s="250"/>
    </row>
    <row r="14" spans="1:18" s="38" customFormat="1">
      <c r="B14" s="301" t="s">
        <v>378</v>
      </c>
      <c r="C14" s="300" t="s">
        <v>377</v>
      </c>
      <c r="E14" s="280">
        <f>[4]IS!U27</f>
        <v>41.936</v>
      </c>
      <c r="F14" s="280">
        <f ca="1">G14</f>
        <v>24.08612256329879</v>
      </c>
      <c r="G14" s="280">
        <f ca="1">H14</f>
        <v>24.08612256329879</v>
      </c>
      <c r="H14" s="280">
        <f ca="1">(I14-E14)/3</f>
        <v>24.08612256329879</v>
      </c>
      <c r="I14" s="280">
        <f ca="1">I15*'Macro and Sector Data'!U7</f>
        <v>114.19436768989638</v>
      </c>
      <c r="J14" s="280">
        <f ca="1">J15*'Macro and Sector Data'!V7</f>
        <v>93.651705120021305</v>
      </c>
      <c r="K14" s="280">
        <f ca="1">K15*'Macro and Sector Data'!W7</f>
        <v>95.43492362358198</v>
      </c>
      <c r="L14" s="280">
        <f ca="1">L15*'Macro and Sector Data'!X7</f>
        <v>122.53809721198787</v>
      </c>
      <c r="M14" s="280">
        <f ca="1">M15*'Macro and Sector Data'!Y7</f>
        <v>155.36238729197046</v>
      </c>
      <c r="N14" s="280">
        <f ca="1">N15*'Macro and Sector Data'!Z7</f>
        <v>214.24634690637387</v>
      </c>
      <c r="O14" s="280">
        <f ca="1">O15*'Macro and Sector Data'!AA7</f>
        <v>287.35404345370625</v>
      </c>
      <c r="P14" s="280">
        <f ca="1">P15*'Macro and Sector Data'!AB7</f>
        <v>376.66484930160686</v>
      </c>
      <c r="Q14" s="280">
        <f ca="1">Q15*'Macro and Sector Data'!AC7</f>
        <v>484.45266366084979</v>
      </c>
      <c r="R14" s="280">
        <f ca="1">R15*'Macro and Sector Data'!AD7</f>
        <v>619.11610228866675</v>
      </c>
    </row>
    <row r="15" spans="1:18">
      <c r="B15" s="62" t="s">
        <v>94</v>
      </c>
      <c r="C15" s="299"/>
      <c r="E15" s="250">
        <f>BS!Q7</f>
        <v>770.61400000000003</v>
      </c>
      <c r="F15" s="250">
        <f ca="1">BS!R7</f>
        <v>982.54665421011237</v>
      </c>
      <c r="G15" s="250">
        <f ca="1">BS!S7</f>
        <v>884.06391483417519</v>
      </c>
      <c r="H15" s="250">
        <f ca="1">BS!T7</f>
        <v>913.55494151917105</v>
      </c>
      <c r="I15" s="250">
        <f ca="1">BS!U7</f>
        <v>913.55494151917105</v>
      </c>
      <c r="J15" s="250">
        <f ca="1">BS!V7</f>
        <v>936.51705120021302</v>
      </c>
      <c r="K15" s="250">
        <f ca="1">BS!W7</f>
        <v>1060.3880402620221</v>
      </c>
      <c r="L15" s="250">
        <f ca="1">BS!X7</f>
        <v>1361.534413466532</v>
      </c>
      <c r="M15" s="250">
        <f ca="1">BS!Y7</f>
        <v>1726.2487476885608</v>
      </c>
      <c r="N15" s="250">
        <f ca="1">BS!Z7</f>
        <v>2380.5149656263766</v>
      </c>
      <c r="O15" s="250">
        <f ca="1">BS!AA7</f>
        <v>3192.8227050411806</v>
      </c>
      <c r="P15" s="250">
        <f ca="1">BS!AB7</f>
        <v>4185.1649922400757</v>
      </c>
      <c r="Q15" s="250">
        <f ca="1">BS!AC7</f>
        <v>5382.8073740094424</v>
      </c>
      <c r="R15" s="250">
        <f ca="1">BS!AD7</f>
        <v>6879.0678032074084</v>
      </c>
    </row>
    <row r="18" spans="1:18">
      <c r="A18" s="7"/>
      <c r="B18" s="30" t="s">
        <v>376</v>
      </c>
      <c r="C18" s="30"/>
      <c r="D18" s="6">
        <v>2022</v>
      </c>
      <c r="E18" s="64" t="s">
        <v>100</v>
      </c>
      <c r="F18" s="63" t="s">
        <v>101</v>
      </c>
      <c r="G18" s="63" t="s">
        <v>102</v>
      </c>
      <c r="H18" s="63" t="s">
        <v>103</v>
      </c>
      <c r="I18" s="37">
        <v>2023</v>
      </c>
      <c r="J18" s="37">
        <v>2024</v>
      </c>
      <c r="K18" s="37">
        <v>2025</v>
      </c>
      <c r="L18" s="37">
        <v>2026</v>
      </c>
      <c r="M18" s="37">
        <v>2027</v>
      </c>
      <c r="N18" s="37">
        <v>2028</v>
      </c>
      <c r="O18" s="37">
        <v>2029</v>
      </c>
      <c r="P18" s="37">
        <v>2030</v>
      </c>
      <c r="Q18" s="37">
        <v>2031</v>
      </c>
      <c r="R18" s="37">
        <v>2032</v>
      </c>
    </row>
    <row r="20" spans="1:18" s="292" customFormat="1">
      <c r="B20" s="295" t="s">
        <v>375</v>
      </c>
      <c r="C20" s="294"/>
      <c r="D20" s="219"/>
      <c r="E20" s="219"/>
      <c r="F20" s="219"/>
      <c r="G20" s="219"/>
      <c r="H20" s="219"/>
      <c r="I20" s="298">
        <v>305.31</v>
      </c>
      <c r="J20" s="298">
        <v>67.781000000000006</v>
      </c>
      <c r="K20" s="298">
        <v>137.46700000000001</v>
      </c>
      <c r="L20" s="298">
        <f>211.473/2</f>
        <v>105.73650000000001</v>
      </c>
      <c r="M20" s="298">
        <f>47.33+211.473/2</f>
        <v>153.06650000000002</v>
      </c>
      <c r="N20" s="293">
        <v>1</v>
      </c>
      <c r="O20" s="297">
        <v>0</v>
      </c>
      <c r="P20" s="297">
        <v>0</v>
      </c>
      <c r="Q20" s="297">
        <v>0</v>
      </c>
      <c r="R20" s="297">
        <v>0</v>
      </c>
    </row>
    <row r="21" spans="1:18" s="11" customFormat="1">
      <c r="B21" s="296"/>
      <c r="C21" s="40"/>
      <c r="D21" s="1"/>
      <c r="E21" s="1"/>
      <c r="F21" s="1"/>
      <c r="G21" s="1"/>
      <c r="H21" s="1"/>
      <c r="I21" s="16"/>
      <c r="J21" s="16"/>
      <c r="K21" s="16"/>
      <c r="L21" s="16"/>
      <c r="M21" s="16"/>
      <c r="N21" s="16"/>
      <c r="O21" s="1"/>
      <c r="P21" s="1"/>
      <c r="Q21" s="1"/>
      <c r="R21" s="1"/>
    </row>
    <row r="22" spans="1:18" s="292" customFormat="1">
      <c r="B22" s="295" t="s">
        <v>374</v>
      </c>
      <c r="C22" s="294"/>
      <c r="D22" s="293">
        <v>770</v>
      </c>
      <c r="E22" s="293">
        <f>0</f>
        <v>0</v>
      </c>
      <c r="F22" s="293">
        <f>0</f>
        <v>0</v>
      </c>
      <c r="G22" s="293">
        <f>0</f>
        <v>0</v>
      </c>
      <c r="H22" s="293">
        <f>0</f>
        <v>0</v>
      </c>
      <c r="I22" s="293">
        <f>D24</f>
        <v>464.69</v>
      </c>
      <c r="J22" s="293">
        <f>I24</f>
        <v>396.90899999999999</v>
      </c>
      <c r="K22" s="293">
        <f>J24</f>
        <v>259.44200000000001</v>
      </c>
      <c r="L22" s="293">
        <f t="shared" ref="L22:R22" si="0">K24</f>
        <v>153.7055</v>
      </c>
      <c r="M22" s="293">
        <f t="shared" si="0"/>
        <v>0.63899999999998158</v>
      </c>
      <c r="N22" s="293">
        <f>0</f>
        <v>0</v>
      </c>
      <c r="O22" s="293">
        <f t="shared" si="0"/>
        <v>0</v>
      </c>
      <c r="P22" s="293">
        <f t="shared" si="0"/>
        <v>0</v>
      </c>
      <c r="Q22" s="293">
        <f t="shared" si="0"/>
        <v>0</v>
      </c>
      <c r="R22" s="293">
        <f t="shared" si="0"/>
        <v>0</v>
      </c>
    </row>
    <row r="23" spans="1:18">
      <c r="B23" t="s">
        <v>373</v>
      </c>
      <c r="D23" s="17">
        <f>I20</f>
        <v>305.31</v>
      </c>
      <c r="E23" s="5"/>
      <c r="F23" s="5"/>
      <c r="G23" s="5"/>
      <c r="H23" s="5"/>
      <c r="I23" s="17">
        <f>J20</f>
        <v>67.781000000000006</v>
      </c>
      <c r="J23" s="17">
        <f t="shared" ref="J23:R23" si="1">K20</f>
        <v>137.46700000000001</v>
      </c>
      <c r="K23" s="17">
        <f t="shared" si="1"/>
        <v>105.73650000000001</v>
      </c>
      <c r="L23" s="17">
        <f t="shared" si="1"/>
        <v>153.06650000000002</v>
      </c>
      <c r="M23" s="17">
        <f t="shared" si="1"/>
        <v>1</v>
      </c>
      <c r="N23" s="17">
        <f t="shared" si="1"/>
        <v>0</v>
      </c>
      <c r="O23" s="17">
        <f t="shared" si="1"/>
        <v>0</v>
      </c>
      <c r="P23" s="17">
        <f t="shared" si="1"/>
        <v>0</v>
      </c>
      <c r="Q23" s="17">
        <f t="shared" si="1"/>
        <v>0</v>
      </c>
      <c r="R23" s="17">
        <f t="shared" si="1"/>
        <v>0</v>
      </c>
    </row>
    <row r="24" spans="1:18">
      <c r="B24" t="s">
        <v>372</v>
      </c>
      <c r="D24" s="17">
        <f>D22-D23</f>
        <v>464.69</v>
      </c>
      <c r="E24" s="5"/>
      <c r="F24" s="5"/>
      <c r="G24" s="5"/>
      <c r="H24" s="5"/>
      <c r="I24" s="17">
        <f>I22-I23</f>
        <v>396.90899999999999</v>
      </c>
      <c r="J24" s="17">
        <f>J22-J23</f>
        <v>259.44200000000001</v>
      </c>
      <c r="K24" s="17">
        <f>K22-K23</f>
        <v>153.7055</v>
      </c>
      <c r="L24" s="17">
        <f t="shared" ref="L24:R24" si="2">L22-L23</f>
        <v>0.63899999999998158</v>
      </c>
      <c r="M24" s="17">
        <f t="shared" si="2"/>
        <v>-0.36100000000001842</v>
      </c>
      <c r="N24" s="17">
        <f t="shared" si="2"/>
        <v>0</v>
      </c>
      <c r="O24" s="17">
        <f t="shared" si="2"/>
        <v>0</v>
      </c>
      <c r="P24" s="17">
        <f t="shared" si="2"/>
        <v>0</v>
      </c>
      <c r="Q24" s="17">
        <f t="shared" si="2"/>
        <v>0</v>
      </c>
      <c r="R24" s="17">
        <f t="shared" si="2"/>
        <v>0</v>
      </c>
    </row>
    <row r="25" spans="1:18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426C-89CE-4BEE-96B4-D0494B9F7627}">
  <dimension ref="A4:MB143"/>
  <sheetViews>
    <sheetView showGridLines="0" zoomScale="85" zoomScaleNormal="85" workbookViewId="0">
      <pane xSplit="3" ySplit="4" topLeftCell="R61" activePane="bottomRight" state="frozen"/>
      <selection pane="topRight" activeCell="D1" sqref="D1"/>
      <selection pane="bottomLeft" activeCell="A5" sqref="A5"/>
      <selection pane="bottomRight" activeCell="W47" sqref="W47:AH47"/>
    </sheetView>
  </sheetViews>
  <sheetFormatPr defaultRowHeight="14.4" outlineLevelRow="5" outlineLevelCol="1"/>
  <cols>
    <col min="1" max="1" width="3" customWidth="1"/>
    <col min="2" max="2" width="83.109375" customWidth="1"/>
    <col min="3" max="3" width="33.6640625" customWidth="1"/>
    <col min="4" max="4" width="9.6640625" bestFit="1" customWidth="1"/>
    <col min="6" max="9" width="9.109375" customWidth="1" outlineLevel="1"/>
    <col min="11" max="14" width="9.109375" customWidth="1" outlineLevel="1"/>
    <col min="16" max="19" width="9.109375" customWidth="1" outlineLevel="1"/>
    <col min="20" max="20" width="10.33203125" style="5" customWidth="1"/>
    <col min="21" max="24" width="10.33203125" style="5" customWidth="1" outlineLevel="1"/>
    <col min="25" max="25" width="10.109375" customWidth="1"/>
    <col min="27" max="27" width="10.109375" customWidth="1"/>
    <col min="35" max="35" width="16.33203125" bestFit="1" customWidth="1"/>
    <col min="36" max="36" width="18.33203125" customWidth="1"/>
  </cols>
  <sheetData>
    <row r="4" spans="1:37">
      <c r="A4" s="7"/>
      <c r="B4" s="30" t="s">
        <v>143</v>
      </c>
      <c r="C4" s="7"/>
      <c r="D4" s="6">
        <v>2018</v>
      </c>
      <c r="E4" s="6">
        <v>2019</v>
      </c>
      <c r="F4" s="8" t="s">
        <v>0</v>
      </c>
      <c r="G4" s="8" t="s">
        <v>1</v>
      </c>
      <c r="H4" s="8" t="s">
        <v>2</v>
      </c>
      <c r="I4" s="8" t="s">
        <v>3</v>
      </c>
      <c r="J4" s="6">
        <v>2020</v>
      </c>
      <c r="K4" s="8" t="s">
        <v>4</v>
      </c>
      <c r="L4" s="8" t="s">
        <v>5</v>
      </c>
      <c r="M4" s="8" t="s">
        <v>6</v>
      </c>
      <c r="N4" s="8" t="s">
        <v>7</v>
      </c>
      <c r="O4" s="6">
        <v>2021</v>
      </c>
      <c r="P4" s="8" t="s">
        <v>8</v>
      </c>
      <c r="Q4" s="8" t="s">
        <v>9</v>
      </c>
      <c r="R4" s="8" t="s">
        <v>10</v>
      </c>
      <c r="S4" s="8" t="s">
        <v>11</v>
      </c>
      <c r="T4" s="6">
        <v>2022</v>
      </c>
      <c r="U4" s="64" t="s">
        <v>100</v>
      </c>
      <c r="V4" s="63" t="s">
        <v>101</v>
      </c>
      <c r="W4" s="63" t="s">
        <v>102</v>
      </c>
      <c r="X4" s="63" t="s">
        <v>103</v>
      </c>
      <c r="Y4" s="37">
        <v>2023</v>
      </c>
      <c r="Z4" s="37">
        <v>2024</v>
      </c>
      <c r="AA4" s="37">
        <v>2025</v>
      </c>
      <c r="AB4" s="37">
        <v>2026</v>
      </c>
      <c r="AC4" s="37">
        <v>2027</v>
      </c>
      <c r="AD4" s="37">
        <v>2028</v>
      </c>
      <c r="AE4" s="37">
        <v>2029</v>
      </c>
      <c r="AF4" s="37">
        <v>2030</v>
      </c>
      <c r="AG4" s="37">
        <v>2031</v>
      </c>
      <c r="AH4" s="37">
        <v>2032</v>
      </c>
    </row>
    <row r="5" spans="1:37">
      <c r="A5" s="7"/>
      <c r="B5" s="30" t="s">
        <v>144</v>
      </c>
      <c r="C5" s="7"/>
      <c r="D5" s="6">
        <v>2018</v>
      </c>
      <c r="E5" s="6">
        <v>2019</v>
      </c>
      <c r="F5" s="8" t="s">
        <v>0</v>
      </c>
      <c r="G5" s="8" t="s">
        <v>1</v>
      </c>
      <c r="H5" s="8" t="s">
        <v>2</v>
      </c>
      <c r="I5" s="8" t="s">
        <v>3</v>
      </c>
      <c r="J5" s="6">
        <v>2020</v>
      </c>
      <c r="K5" s="8" t="s">
        <v>4</v>
      </c>
      <c r="L5" s="8" t="s">
        <v>5</v>
      </c>
      <c r="M5" s="8" t="s">
        <v>6</v>
      </c>
      <c r="N5" s="8" t="s">
        <v>7</v>
      </c>
      <c r="O5" s="6">
        <v>2021</v>
      </c>
      <c r="P5" s="8" t="s">
        <v>8</v>
      </c>
      <c r="Q5" s="8" t="s">
        <v>9</v>
      </c>
      <c r="R5" s="8" t="s">
        <v>10</v>
      </c>
      <c r="S5" s="8" t="s">
        <v>11</v>
      </c>
      <c r="T5" s="6">
        <v>2022</v>
      </c>
      <c r="U5" s="64" t="s">
        <v>100</v>
      </c>
      <c r="V5" s="63" t="s">
        <v>101</v>
      </c>
      <c r="W5" s="63" t="s">
        <v>102</v>
      </c>
      <c r="X5" s="63" t="s">
        <v>103</v>
      </c>
      <c r="Y5" s="37">
        <v>2023</v>
      </c>
      <c r="Z5" s="37">
        <v>2024</v>
      </c>
      <c r="AA5" s="37">
        <v>2025</v>
      </c>
      <c r="AB5" s="37">
        <v>2026</v>
      </c>
      <c r="AC5" s="37">
        <v>2027</v>
      </c>
      <c r="AD5" s="37">
        <v>2028</v>
      </c>
      <c r="AE5" s="37">
        <v>2029</v>
      </c>
      <c r="AF5" s="37">
        <v>2030</v>
      </c>
      <c r="AG5" s="37">
        <v>2031</v>
      </c>
      <c r="AH5" s="37">
        <v>2032</v>
      </c>
    </row>
    <row r="6" spans="1:37" s="96" customFormat="1">
      <c r="B6" s="96" t="s">
        <v>15</v>
      </c>
      <c r="C6" s="97" t="s">
        <v>16</v>
      </c>
      <c r="D6" s="97">
        <f>IS!D5</f>
        <v>0</v>
      </c>
      <c r="E6" s="97">
        <f>IS!E5</f>
        <v>0</v>
      </c>
      <c r="F6" s="97">
        <f>IS!F5</f>
        <v>507.32499999999999</v>
      </c>
      <c r="G6" s="97">
        <f>IS!G5</f>
        <v>523.88199999999995</v>
      </c>
      <c r="H6" s="97">
        <f>IS!H5</f>
        <v>570</v>
      </c>
      <c r="I6" s="97">
        <f>IS!I5</f>
        <v>619.60461255000018</v>
      </c>
      <c r="J6" s="97">
        <f>IS!J5</f>
        <v>2220.8116125500001</v>
      </c>
      <c r="K6" s="97">
        <f>IS!K5</f>
        <v>657.30799999999999</v>
      </c>
      <c r="L6" s="97">
        <f>IS!L5</f>
        <v>702.16700000000003</v>
      </c>
      <c r="M6" s="97">
        <f>IS!M5</f>
        <v>744.12800000000004</v>
      </c>
      <c r="N6" s="97">
        <f>IS!N5</f>
        <v>819.93</v>
      </c>
      <c r="O6" s="97">
        <f>IS!O5</f>
        <v>2923.5329999999999</v>
      </c>
      <c r="P6" s="97">
        <f>IS!P5</f>
        <v>879.38599999999997</v>
      </c>
      <c r="Q6" s="97">
        <f>IS!Q5</f>
        <v>983.58199999999999</v>
      </c>
      <c r="R6" s="97">
        <f>IS!R5</f>
        <v>1253.17</v>
      </c>
      <c r="S6" s="97">
        <f>IS!S5</f>
        <v>1324.105</v>
      </c>
      <c r="T6" s="97">
        <f>IS!T5</f>
        <v>4440.2430000000004</v>
      </c>
      <c r="U6" s="97">
        <f>IS!U5</f>
        <v>1395.6</v>
      </c>
      <c r="V6" s="97">
        <f>V10+V12</f>
        <v>1446.2566386841779</v>
      </c>
      <c r="W6" s="97">
        <f t="shared" ref="W6:AH6" si="0">W10+W12</f>
        <v>1538.1334809949956</v>
      </c>
      <c r="X6" s="97">
        <f t="shared" si="0"/>
        <v>1633.3645505046063</v>
      </c>
      <c r="Y6" s="97">
        <f t="shared" si="0"/>
        <v>6013.3546701837786</v>
      </c>
      <c r="Z6" s="97">
        <f t="shared" si="0"/>
        <v>7008.2112116179715</v>
      </c>
      <c r="AA6" s="97">
        <f t="shared" si="0"/>
        <v>8081.9599170758884</v>
      </c>
      <c r="AB6" s="97">
        <f t="shared" si="0"/>
        <v>8890.3114029709686</v>
      </c>
      <c r="AC6" s="97">
        <f t="shared" si="0"/>
        <v>9772.7200705862051</v>
      </c>
      <c r="AD6" s="97">
        <f t="shared" si="0"/>
        <v>10735.628977527207</v>
      </c>
      <c r="AE6" s="97">
        <f t="shared" si="0"/>
        <v>11786.022981133312</v>
      </c>
      <c r="AF6" s="97">
        <f t="shared" si="0"/>
        <v>12931.473215604867</v>
      </c>
      <c r="AG6" s="97">
        <f t="shared" si="0"/>
        <v>14180.185155669955</v>
      </c>
      <c r="AH6" s="97">
        <f t="shared" si="0"/>
        <v>15541.05055205321</v>
      </c>
      <c r="AJ6"/>
      <c r="AK6"/>
    </row>
    <row r="7" spans="1:37" s="98" customFormat="1">
      <c r="B7" s="99" t="s">
        <v>146</v>
      </c>
      <c r="C7" s="100" t="s">
        <v>128</v>
      </c>
      <c r="J7" s="91"/>
      <c r="O7" s="91">
        <f>O6/J6-1</f>
        <v>0.31642548313367058</v>
      </c>
      <c r="T7" s="91">
        <f>(T6-O6)/O6</f>
        <v>0.51879352824134384</v>
      </c>
      <c r="U7" s="91">
        <f>(U6-P6)/U6</f>
        <v>0.36988678704499856</v>
      </c>
      <c r="V7" s="91"/>
      <c r="W7" s="91"/>
      <c r="X7" s="91"/>
      <c r="Y7" s="91">
        <f>(Y6-T6)/Y6</f>
        <v>0.26160300804870057</v>
      </c>
      <c r="Z7" s="91">
        <f>(Z6-Y6)/Z6</f>
        <v>0.14195584456486612</v>
      </c>
      <c r="AA7" s="91">
        <f t="shared" ref="AA7:AH7" si="1">(AA6-Z6)/AA6</f>
        <v>0.13285746483216992</v>
      </c>
      <c r="AB7" s="91">
        <f t="shared" si="1"/>
        <v>9.0924991179155423E-2</v>
      </c>
      <c r="AC7" s="91">
        <f t="shared" si="1"/>
        <v>9.0293046484683184E-2</v>
      </c>
      <c r="AD7" s="91">
        <f t="shared" si="1"/>
        <v>8.9692826471243589E-2</v>
      </c>
      <c r="AE7" s="91">
        <f t="shared" si="1"/>
        <v>8.9122005386171571E-2</v>
      </c>
      <c r="AF7" s="91">
        <f t="shared" si="1"/>
        <v>8.8578479448830266E-2</v>
      </c>
      <c r="AG7" s="91">
        <f t="shared" si="1"/>
        <v>8.8060340986858693E-2</v>
      </c>
      <c r="AH7" s="91">
        <f t="shared" si="1"/>
        <v>8.7565856106391976E-2</v>
      </c>
      <c r="AJ7"/>
      <c r="AK7"/>
    </row>
    <row r="8" spans="1:37" s="101" customFormat="1">
      <c r="B8" s="102" t="s">
        <v>147</v>
      </c>
      <c r="C8" s="100" t="s">
        <v>128</v>
      </c>
      <c r="T8" s="91">
        <v>6.0999999999999999E-2</v>
      </c>
      <c r="U8" s="91"/>
      <c r="V8" s="91"/>
      <c r="W8" s="91"/>
      <c r="X8" s="91"/>
      <c r="Y8" s="91"/>
      <c r="Z8" s="91"/>
      <c r="AA8" s="91"/>
      <c r="AJ8"/>
      <c r="AK8"/>
    </row>
    <row r="9" spans="1:37" s="101" customFormat="1" ht="9" customHeight="1">
      <c r="B9" s="102"/>
      <c r="C9" s="100"/>
      <c r="T9" s="91"/>
      <c r="U9" s="91"/>
      <c r="V9" s="91"/>
      <c r="W9" s="91"/>
      <c r="X9" s="91"/>
      <c r="AJ9"/>
      <c r="AK9"/>
    </row>
    <row r="10" spans="1:37" s="101" customFormat="1">
      <c r="B10" s="103" t="s">
        <v>148</v>
      </c>
      <c r="C10" s="100"/>
      <c r="T10" s="104">
        <f>T6*T11</f>
        <v>3818.6089800000004</v>
      </c>
      <c r="U10" s="104">
        <f>U6*U11</f>
        <v>1200.2159999999999</v>
      </c>
      <c r="V10" s="104">
        <f>(V44*V28)/1000</f>
        <v>1291.5394424285712</v>
      </c>
      <c r="W10" s="104">
        <f t="shared" ref="W10:X10" si="2">(W44*W28)/1000</f>
        <v>1379.6205586079134</v>
      </c>
      <c r="X10" s="104">
        <f t="shared" si="2"/>
        <v>1470.9627802309119</v>
      </c>
      <c r="Y10" s="104">
        <f>SUM(U10:X10)</f>
        <v>5342.3387812673955</v>
      </c>
      <c r="Z10" s="104">
        <f>(Z44*Z28)/1000</f>
        <v>6329.6607641096825</v>
      </c>
      <c r="AA10" s="104">
        <f t="shared" ref="AA10:AH10" si="3">(AA44*AA28)/1000</f>
        <v>7201.5814244607336</v>
      </c>
      <c r="AB10" s="104">
        <f t="shared" si="3"/>
        <v>7938.446176755464</v>
      </c>
      <c r="AC10" s="104">
        <f t="shared" si="3"/>
        <v>8743.5633880020014</v>
      </c>
      <c r="AD10" s="104">
        <f t="shared" si="3"/>
        <v>9622.9047723171643</v>
      </c>
      <c r="AE10" s="104">
        <f t="shared" si="3"/>
        <v>10582.945570460213</v>
      </c>
      <c r="AF10" s="104">
        <f t="shared" si="3"/>
        <v>11630.705919185113</v>
      </c>
      <c r="AG10" s="104">
        <f t="shared" si="3"/>
        <v>12773.795554780918</v>
      </c>
      <c r="AH10" s="104">
        <f t="shared" si="3"/>
        <v>14020.462115571983</v>
      </c>
      <c r="AJ10"/>
      <c r="AK10"/>
    </row>
    <row r="11" spans="1:37" s="101" customFormat="1">
      <c r="B11" s="105" t="s">
        <v>149</v>
      </c>
      <c r="C11" s="100"/>
      <c r="T11" s="106">
        <f>1-T13</f>
        <v>0.86</v>
      </c>
      <c r="U11" s="106">
        <f>T11</f>
        <v>0.86</v>
      </c>
      <c r="V11" s="106">
        <f>V10/V6</f>
        <v>0.89302230868487464</v>
      </c>
      <c r="W11" s="106">
        <f t="shared" ref="W11:AH11" si="4">W10/W6</f>
        <v>0.8969446251930342</v>
      </c>
      <c r="X11" s="106">
        <f t="shared" si="4"/>
        <v>0.90057224504871092</v>
      </c>
      <c r="Y11" s="106">
        <f t="shared" si="4"/>
        <v>0.88841238780684195</v>
      </c>
      <c r="Z11" s="106">
        <f t="shared" si="4"/>
        <v>0.90317779715551216</v>
      </c>
      <c r="AA11" s="106">
        <f t="shared" si="4"/>
        <v>0.89106868857947985</v>
      </c>
      <c r="AB11" s="106">
        <f t="shared" si="4"/>
        <v>0.89293229639881799</v>
      </c>
      <c r="AC11" s="106">
        <f t="shared" si="4"/>
        <v>0.89469086649869922</v>
      </c>
      <c r="AD11" s="106">
        <f t="shared" si="4"/>
        <v>0.89635221117092456</v>
      </c>
      <c r="AE11" s="106">
        <f t="shared" si="4"/>
        <v>0.89792337817438961</v>
      </c>
      <c r="AF11" s="106">
        <f t="shared" si="4"/>
        <v>0.89941074193696113</v>
      </c>
      <c r="AG11" s="106">
        <f t="shared" si="4"/>
        <v>0.90082008200529795</v>
      </c>
      <c r="AH11" s="106">
        <f t="shared" si="4"/>
        <v>0.90215665077543084</v>
      </c>
      <c r="AJ11"/>
      <c r="AK11"/>
    </row>
    <row r="12" spans="1:37" s="101" customFormat="1">
      <c r="B12" s="103" t="s">
        <v>150</v>
      </c>
      <c r="C12" s="100"/>
      <c r="T12" s="104">
        <f>T6*T13</f>
        <v>621.63402000000008</v>
      </c>
      <c r="U12" s="104">
        <f>U6*U13</f>
        <v>195.38400000000001</v>
      </c>
      <c r="V12" s="104">
        <f>(V47*V34)/1000</f>
        <v>154.71719625560681</v>
      </c>
      <c r="W12" s="104">
        <f t="shared" ref="W12:X12" si="5">(W47*W34)/1000</f>
        <v>158.5129223870822</v>
      </c>
      <c r="X12" s="104">
        <f t="shared" si="5"/>
        <v>162.40177027369432</v>
      </c>
      <c r="Y12" s="104">
        <f>SUM(U12:X12)</f>
        <v>671.01588891638335</v>
      </c>
      <c r="Z12" s="104">
        <f>(Z47*Z34)/1000</f>
        <v>678.55044750828927</v>
      </c>
      <c r="AA12" s="104">
        <f t="shared" ref="AA12:AH12" si="6">(AA47*AA34)/1000</f>
        <v>880.37849261515487</v>
      </c>
      <c r="AB12" s="104">
        <f t="shared" si="6"/>
        <v>951.86522621550534</v>
      </c>
      <c r="AC12" s="104">
        <f t="shared" si="6"/>
        <v>1029.1566825842046</v>
      </c>
      <c r="AD12" s="104">
        <f t="shared" si="6"/>
        <v>1112.7242052100421</v>
      </c>
      <c r="AE12" s="104">
        <f t="shared" si="6"/>
        <v>1203.0774106730978</v>
      </c>
      <c r="AF12" s="104">
        <f t="shared" si="6"/>
        <v>1300.7672964197532</v>
      </c>
      <c r="AG12" s="104">
        <f t="shared" si="6"/>
        <v>1406.3896008890372</v>
      </c>
      <c r="AH12" s="104">
        <f t="shared" si="6"/>
        <v>1520.5884364812271</v>
      </c>
      <c r="AJ12"/>
      <c r="AK12"/>
    </row>
    <row r="13" spans="1:37" s="101" customFormat="1">
      <c r="B13" s="105" t="s">
        <v>149</v>
      </c>
      <c r="C13" s="100"/>
      <c r="T13" s="106">
        <v>0.14000000000000001</v>
      </c>
      <c r="U13" s="106">
        <f>T13</f>
        <v>0.14000000000000001</v>
      </c>
      <c r="V13" s="106">
        <f>V12/V6</f>
        <v>0.10697769131512538</v>
      </c>
      <c r="W13" s="106">
        <f>W12/W6</f>
        <v>0.10305537480696575</v>
      </c>
      <c r="X13" s="106">
        <f t="shared" ref="X13:AH13" si="7">X12/X6</f>
        <v>9.9427754951289013E-2</v>
      </c>
      <c r="Y13" s="106">
        <f t="shared" si="7"/>
        <v>0.11158761219315806</v>
      </c>
      <c r="Z13" s="106">
        <f t="shared" si="7"/>
        <v>9.6822202844487865E-2</v>
      </c>
      <c r="AA13" s="106">
        <f t="shared" si="7"/>
        <v>0.10893131142052016</v>
      </c>
      <c r="AB13" s="106">
        <f t="shared" si="7"/>
        <v>0.10706770360118213</v>
      </c>
      <c r="AC13" s="106">
        <f t="shared" si="7"/>
        <v>0.10530913350130082</v>
      </c>
      <c r="AD13" s="106">
        <f t="shared" si="7"/>
        <v>0.10364778882907535</v>
      </c>
      <c r="AE13" s="106">
        <f t="shared" si="7"/>
        <v>0.10207662182561035</v>
      </c>
      <c r="AF13" s="106">
        <f t="shared" si="7"/>
        <v>0.10058925806303888</v>
      </c>
      <c r="AG13" s="106">
        <f t="shared" si="7"/>
        <v>9.9179917994702035E-2</v>
      </c>
      <c r="AH13" s="106">
        <f t="shared" si="7"/>
        <v>9.7843349224569262E-2</v>
      </c>
      <c r="AJ13"/>
      <c r="AK13"/>
    </row>
    <row r="14" spans="1:37">
      <c r="C14" s="5"/>
    </row>
    <row r="15" spans="1:37">
      <c r="A15" s="7"/>
      <c r="B15" s="30" t="s">
        <v>151</v>
      </c>
      <c r="C15" s="7"/>
      <c r="D15" s="6">
        <v>2018</v>
      </c>
      <c r="E15" s="6">
        <v>2019</v>
      </c>
      <c r="F15" s="8" t="s">
        <v>0</v>
      </c>
      <c r="G15" s="8" t="s">
        <v>1</v>
      </c>
      <c r="H15" s="8" t="s">
        <v>2</v>
      </c>
      <c r="I15" s="8" t="s">
        <v>3</v>
      </c>
      <c r="J15" s="6">
        <v>2020</v>
      </c>
      <c r="K15" s="8" t="s">
        <v>4</v>
      </c>
      <c r="L15" s="8" t="s">
        <v>5</v>
      </c>
      <c r="M15" s="8" t="s">
        <v>6</v>
      </c>
      <c r="N15" s="8" t="s">
        <v>7</v>
      </c>
      <c r="O15" s="6">
        <v>2021</v>
      </c>
      <c r="P15" s="8" t="s">
        <v>8</v>
      </c>
      <c r="Q15" s="8" t="s">
        <v>9</v>
      </c>
      <c r="R15" s="8" t="s">
        <v>10</v>
      </c>
      <c r="S15" s="8" t="s">
        <v>11</v>
      </c>
      <c r="T15" s="6">
        <v>2022</v>
      </c>
      <c r="U15" s="64" t="s">
        <v>100</v>
      </c>
      <c r="V15" s="63" t="s">
        <v>101</v>
      </c>
      <c r="W15" s="63" t="s">
        <v>102</v>
      </c>
      <c r="X15" s="63" t="s">
        <v>103</v>
      </c>
      <c r="Y15" s="37">
        <v>2023</v>
      </c>
      <c r="Z15" s="37">
        <v>2024</v>
      </c>
      <c r="AA15" s="37">
        <v>2025</v>
      </c>
      <c r="AB15" s="37">
        <v>2026</v>
      </c>
      <c r="AC15" s="37">
        <v>2027</v>
      </c>
      <c r="AD15" s="37">
        <v>2028</v>
      </c>
      <c r="AE15" s="37">
        <v>2029</v>
      </c>
      <c r="AF15" s="37">
        <v>2030</v>
      </c>
      <c r="AG15" s="37">
        <v>2031</v>
      </c>
      <c r="AH15" s="37">
        <v>2032</v>
      </c>
    </row>
    <row r="16" spans="1:37" s="11" customFormat="1">
      <c r="B16" s="107" t="s">
        <v>152</v>
      </c>
      <c r="C16" s="1" t="s">
        <v>153</v>
      </c>
      <c r="D16" s="1"/>
      <c r="E16" s="1"/>
      <c r="F16" s="1"/>
      <c r="G16" s="1"/>
      <c r="H16" s="1"/>
      <c r="I16" s="1"/>
      <c r="J16" s="1"/>
      <c r="K16" s="1"/>
      <c r="L16" s="84">
        <v>69</v>
      </c>
      <c r="M16" s="84">
        <v>73</v>
      </c>
      <c r="N16" s="84">
        <v>91</v>
      </c>
      <c r="O16" s="84">
        <v>91</v>
      </c>
      <c r="P16" s="84">
        <v>91</v>
      </c>
      <c r="Q16" s="84">
        <v>129</v>
      </c>
      <c r="R16" s="84">
        <v>131</v>
      </c>
      <c r="S16" s="84">
        <v>131</v>
      </c>
      <c r="T16" s="1">
        <v>131</v>
      </c>
      <c r="U16" s="1">
        <f>U17+U18</f>
        <v>137</v>
      </c>
      <c r="V16" s="1">
        <f>V17+V18</f>
        <v>143</v>
      </c>
      <c r="W16" s="1">
        <f t="shared" ref="W16:X16" si="8">W17+W18</f>
        <v>149</v>
      </c>
      <c r="X16" s="1">
        <f t="shared" si="8"/>
        <v>155</v>
      </c>
      <c r="Y16" s="1">
        <f>X16</f>
        <v>155</v>
      </c>
      <c r="Z16" s="1">
        <f>Z17+Z18</f>
        <v>170</v>
      </c>
      <c r="AA16" s="1">
        <f t="shared" ref="AA16:AH16" si="9">AA17+AA18</f>
        <v>182</v>
      </c>
      <c r="AB16" s="1">
        <f t="shared" si="9"/>
        <v>187</v>
      </c>
      <c r="AC16" s="1">
        <f t="shared" si="9"/>
        <v>192</v>
      </c>
      <c r="AD16" s="1">
        <f t="shared" si="9"/>
        <v>197</v>
      </c>
      <c r="AE16" s="1">
        <f t="shared" si="9"/>
        <v>202</v>
      </c>
      <c r="AF16" s="1">
        <f t="shared" si="9"/>
        <v>207</v>
      </c>
      <c r="AG16" s="1">
        <f t="shared" si="9"/>
        <v>212</v>
      </c>
      <c r="AH16" s="1">
        <f t="shared" si="9"/>
        <v>217</v>
      </c>
      <c r="AJ16"/>
      <c r="AK16"/>
    </row>
    <row r="17" spans="1:340">
      <c r="B17" t="s">
        <v>154</v>
      </c>
      <c r="C17" s="5"/>
      <c r="D17" s="5"/>
      <c r="E17" s="5"/>
      <c r="F17" s="5"/>
      <c r="G17" s="5"/>
      <c r="H17" s="5"/>
      <c r="I17" s="5"/>
      <c r="J17" s="5"/>
      <c r="K17" s="5"/>
      <c r="L17" s="82"/>
      <c r="M17" s="82"/>
      <c r="N17" s="82"/>
      <c r="O17" s="82">
        <v>86</v>
      </c>
      <c r="P17" s="82"/>
      <c r="Q17" s="82"/>
      <c r="R17" s="82"/>
      <c r="S17" s="82"/>
      <c r="T17" s="5">
        <v>125</v>
      </c>
      <c r="U17" s="5">
        <v>127</v>
      </c>
      <c r="V17" s="5">
        <f>U17+V20</f>
        <v>133</v>
      </c>
      <c r="W17" s="5">
        <f t="shared" ref="W17:X17" si="10">V17+W20</f>
        <v>139</v>
      </c>
      <c r="X17" s="5">
        <f t="shared" si="10"/>
        <v>145</v>
      </c>
      <c r="Y17" s="1">
        <f t="shared" ref="Y17:Y18" si="11">X17</f>
        <v>145</v>
      </c>
      <c r="Z17" s="5">
        <f>Y17+Z20</f>
        <v>160</v>
      </c>
      <c r="AA17" s="5">
        <f t="shared" ref="AA17:AH17" si="12">Z17+AA20</f>
        <v>170</v>
      </c>
      <c r="AB17" s="5">
        <f t="shared" si="12"/>
        <v>175</v>
      </c>
      <c r="AC17" s="5">
        <f t="shared" si="12"/>
        <v>180</v>
      </c>
      <c r="AD17" s="5">
        <f t="shared" si="12"/>
        <v>185</v>
      </c>
      <c r="AE17" s="5">
        <f t="shared" si="12"/>
        <v>190</v>
      </c>
      <c r="AF17" s="5">
        <f t="shared" si="12"/>
        <v>195</v>
      </c>
      <c r="AG17" s="5">
        <f t="shared" si="12"/>
        <v>200</v>
      </c>
      <c r="AH17" s="5">
        <f t="shared" si="12"/>
        <v>205</v>
      </c>
    </row>
    <row r="18" spans="1:340">
      <c r="B18" t="s">
        <v>155</v>
      </c>
      <c r="C18" s="5"/>
      <c r="D18" s="5"/>
      <c r="E18" s="5"/>
      <c r="F18" s="5"/>
      <c r="G18" s="5"/>
      <c r="H18" s="5"/>
      <c r="I18" s="5"/>
      <c r="J18" s="5"/>
      <c r="K18" s="5"/>
      <c r="L18" s="82"/>
      <c r="M18" s="82"/>
      <c r="N18" s="82"/>
      <c r="O18" s="82">
        <v>5</v>
      </c>
      <c r="P18" s="82"/>
      <c r="Q18" s="82"/>
      <c r="R18" s="82"/>
      <c r="S18" s="82"/>
      <c r="T18" s="5">
        <v>6</v>
      </c>
      <c r="U18" s="5">
        <v>10</v>
      </c>
      <c r="V18" s="5">
        <f>U18+V22+V23</f>
        <v>10</v>
      </c>
      <c r="W18" s="5">
        <f t="shared" ref="W18:X18" si="13">V18+W22+W23</f>
        <v>10</v>
      </c>
      <c r="X18" s="5">
        <f t="shared" si="13"/>
        <v>10</v>
      </c>
      <c r="Y18" s="1">
        <f t="shared" si="11"/>
        <v>10</v>
      </c>
      <c r="Z18" s="5">
        <f>Y18+Z22+Z23</f>
        <v>10</v>
      </c>
      <c r="AA18" s="5">
        <f t="shared" ref="AA18:AH18" si="14">Z18+AA22+AA23</f>
        <v>12</v>
      </c>
      <c r="AB18" s="5">
        <f t="shared" si="14"/>
        <v>12</v>
      </c>
      <c r="AC18" s="5">
        <f t="shared" si="14"/>
        <v>12</v>
      </c>
      <c r="AD18" s="5">
        <f t="shared" si="14"/>
        <v>12</v>
      </c>
      <c r="AE18" s="5">
        <f t="shared" si="14"/>
        <v>12</v>
      </c>
      <c r="AF18" s="5">
        <f t="shared" si="14"/>
        <v>12</v>
      </c>
      <c r="AG18" s="5">
        <f t="shared" si="14"/>
        <v>12</v>
      </c>
      <c r="AH18" s="5">
        <f t="shared" si="14"/>
        <v>12</v>
      </c>
    </row>
    <row r="19" spans="1:340">
      <c r="C19" s="5"/>
      <c r="D19" s="5"/>
      <c r="E19" s="5"/>
      <c r="F19" s="5"/>
      <c r="G19" s="5"/>
      <c r="H19" s="5"/>
      <c r="I19" s="5"/>
      <c r="J19" s="5"/>
      <c r="K19" s="5"/>
      <c r="L19" s="82"/>
      <c r="M19" s="82"/>
      <c r="N19" s="82"/>
      <c r="O19" s="82"/>
      <c r="P19" s="82"/>
      <c r="Q19" s="82"/>
      <c r="R19" s="82"/>
      <c r="S19" s="82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spans="1:340">
      <c r="B20" s="29" t="s">
        <v>156</v>
      </c>
      <c r="C20" s="108" t="s">
        <v>153</v>
      </c>
      <c r="T20" s="5">
        <f>T17-O17</f>
        <v>39</v>
      </c>
      <c r="U20" s="5">
        <v>2</v>
      </c>
      <c r="V20" s="109">
        <f>Scenarios!C11</f>
        <v>6</v>
      </c>
      <c r="W20" s="109">
        <f>Scenarios!D11</f>
        <v>6</v>
      </c>
      <c r="X20" s="109">
        <f>Scenarios!E11</f>
        <v>6</v>
      </c>
      <c r="Y20" s="109">
        <f>Scenarios!F11</f>
        <v>20</v>
      </c>
      <c r="Z20" s="109">
        <f>Scenarios!G11</f>
        <v>15</v>
      </c>
      <c r="AA20" s="109">
        <f>Scenarios!H11</f>
        <v>10</v>
      </c>
      <c r="AB20" s="109">
        <f>Scenarios!I11</f>
        <v>5</v>
      </c>
      <c r="AC20" s="109">
        <f>Scenarios!J11</f>
        <v>5</v>
      </c>
      <c r="AD20" s="109">
        <f>Scenarios!K11</f>
        <v>5</v>
      </c>
      <c r="AE20" s="109">
        <f>Scenarios!L11</f>
        <v>5</v>
      </c>
      <c r="AF20" s="109">
        <f>Scenarios!M11</f>
        <v>5</v>
      </c>
      <c r="AG20" s="109">
        <f>Scenarios!N11</f>
        <v>5</v>
      </c>
      <c r="AH20" s="109">
        <f>Scenarios!O11</f>
        <v>5</v>
      </c>
    </row>
    <row r="21" spans="1:340">
      <c r="B21" s="29"/>
      <c r="C21" s="108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</row>
    <row r="22" spans="1:340">
      <c r="B22" s="29" t="s">
        <v>157</v>
      </c>
      <c r="C22" s="108" t="s">
        <v>153</v>
      </c>
      <c r="U22" s="5">
        <v>0</v>
      </c>
      <c r="V22" s="109">
        <v>0</v>
      </c>
      <c r="W22" s="109">
        <v>0</v>
      </c>
      <c r="X22" s="109">
        <v>0</v>
      </c>
      <c r="Y22" s="109">
        <v>0</v>
      </c>
      <c r="Z22" s="109">
        <v>0</v>
      </c>
      <c r="AA22" s="109">
        <v>2</v>
      </c>
      <c r="AB22" s="109">
        <v>0</v>
      </c>
      <c r="AC22" s="109">
        <v>0</v>
      </c>
      <c r="AD22" s="109">
        <v>0</v>
      </c>
      <c r="AE22" s="109">
        <v>0</v>
      </c>
      <c r="AF22" s="109">
        <v>0</v>
      </c>
      <c r="AG22" s="109">
        <v>0</v>
      </c>
      <c r="AH22" s="109">
        <v>0</v>
      </c>
    </row>
    <row r="23" spans="1:340">
      <c r="B23" s="29" t="s">
        <v>158</v>
      </c>
      <c r="C23" s="108" t="s">
        <v>153</v>
      </c>
      <c r="U23" s="5">
        <v>4</v>
      </c>
      <c r="V23" s="109">
        <v>0</v>
      </c>
      <c r="W23" s="109">
        <v>0</v>
      </c>
      <c r="X23" s="109">
        <v>0</v>
      </c>
      <c r="Y23" s="109">
        <v>4</v>
      </c>
      <c r="Z23" s="109">
        <f>0</f>
        <v>0</v>
      </c>
      <c r="AA23" s="109">
        <f t="shared" ref="AA23:AH23" si="15">Z23</f>
        <v>0</v>
      </c>
      <c r="AB23" s="109">
        <f t="shared" si="15"/>
        <v>0</v>
      </c>
      <c r="AC23" s="109">
        <f t="shared" si="15"/>
        <v>0</v>
      </c>
      <c r="AD23" s="109">
        <f t="shared" si="15"/>
        <v>0</v>
      </c>
      <c r="AE23" s="109">
        <f t="shared" si="15"/>
        <v>0</v>
      </c>
      <c r="AF23" s="109">
        <f t="shared" si="15"/>
        <v>0</v>
      </c>
      <c r="AG23" s="109">
        <f t="shared" si="15"/>
        <v>0</v>
      </c>
      <c r="AH23" s="109">
        <f t="shared" si="15"/>
        <v>0</v>
      </c>
    </row>
    <row r="24" spans="1:340">
      <c r="B24" s="29"/>
      <c r="C24" s="108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</row>
    <row r="25" spans="1:340">
      <c r="A25" s="7"/>
      <c r="B25" s="30" t="s">
        <v>335</v>
      </c>
      <c r="C25" s="7"/>
      <c r="D25" s="6">
        <v>2018</v>
      </c>
      <c r="E25" s="6">
        <v>2019</v>
      </c>
      <c r="F25" s="8" t="s">
        <v>0</v>
      </c>
      <c r="G25" s="8" t="s">
        <v>1</v>
      </c>
      <c r="H25" s="8" t="s">
        <v>2</v>
      </c>
      <c r="I25" s="8" t="s">
        <v>3</v>
      </c>
      <c r="J25" s="6">
        <v>2020</v>
      </c>
      <c r="K25" s="8" t="s">
        <v>4</v>
      </c>
      <c r="L25" s="8" t="s">
        <v>5</v>
      </c>
      <c r="M25" s="8" t="s">
        <v>6</v>
      </c>
      <c r="N25" s="8" t="s">
        <v>7</v>
      </c>
      <c r="O25" s="6">
        <v>2021</v>
      </c>
      <c r="P25" s="8" t="s">
        <v>8</v>
      </c>
      <c r="Q25" s="8" t="s">
        <v>9</v>
      </c>
      <c r="R25" s="8" t="s">
        <v>10</v>
      </c>
      <c r="S25" s="8" t="s">
        <v>11</v>
      </c>
      <c r="T25" s="6">
        <v>2022</v>
      </c>
      <c r="U25" s="64" t="s">
        <v>100</v>
      </c>
      <c r="V25" s="63" t="s">
        <v>101</v>
      </c>
      <c r="W25" s="63" t="s">
        <v>102</v>
      </c>
      <c r="X25" s="63" t="s">
        <v>103</v>
      </c>
      <c r="Y25" s="37">
        <v>2023</v>
      </c>
      <c r="Z25" s="37">
        <v>2024</v>
      </c>
      <c r="AA25" s="37">
        <v>2025</v>
      </c>
      <c r="AB25" s="37">
        <v>2026</v>
      </c>
      <c r="AC25" s="37">
        <v>2027</v>
      </c>
      <c r="AD25" s="37">
        <v>2028</v>
      </c>
      <c r="AE25" s="37">
        <v>2029</v>
      </c>
      <c r="AF25" s="37">
        <v>2030</v>
      </c>
      <c r="AG25" s="37">
        <v>2031</v>
      </c>
      <c r="AH25" s="37">
        <v>2032</v>
      </c>
    </row>
    <row r="26" spans="1:340" s="11" customFormat="1">
      <c r="B26" s="73" t="s">
        <v>194</v>
      </c>
      <c r="C26" s="1" t="s">
        <v>195</v>
      </c>
      <c r="D26" s="113">
        <v>201</v>
      </c>
      <c r="E26" s="113">
        <v>300</v>
      </c>
      <c r="F26" s="113">
        <v>78.716999999999999</v>
      </c>
      <c r="G26" s="113">
        <v>73.67</v>
      </c>
      <c r="H26" s="113">
        <v>79.528000000000006</v>
      </c>
      <c r="I26" s="113">
        <v>81.783000000000001</v>
      </c>
      <c r="J26" s="111">
        <f>SUM(F26:I26)</f>
        <v>313.69800000000004</v>
      </c>
      <c r="K26" s="113">
        <v>89.738</v>
      </c>
      <c r="L26" s="113">
        <v>93.230999999999995</v>
      </c>
      <c r="M26" s="113">
        <v>97.575680194708795</v>
      </c>
      <c r="N26" s="113">
        <v>101.92698230509896</v>
      </c>
      <c r="O26" s="111">
        <f>SUM(K26:N26)</f>
        <v>382.47166249980774</v>
      </c>
      <c r="P26" s="113">
        <v>103.01653807372769</v>
      </c>
      <c r="Q26" s="113">
        <v>111.76691287846818</v>
      </c>
      <c r="R26" s="113">
        <v>141.5</v>
      </c>
      <c r="S26" s="113">
        <v>144.5</v>
      </c>
      <c r="T26" s="111">
        <f>SUM(P26:S26)</f>
        <v>500.78345095219584</v>
      </c>
      <c r="U26" s="111">
        <v>151.1</v>
      </c>
      <c r="V26" s="111">
        <f>V28+V34</f>
        <v>158.13079147893677</v>
      </c>
      <c r="W26" s="111">
        <f t="shared" ref="W26:AH26" si="16">W28+W34</f>
        <v>165.21194164194802</v>
      </c>
      <c r="X26" s="111">
        <f t="shared" si="16"/>
        <v>172.34372841629968</v>
      </c>
      <c r="Y26" s="111">
        <f t="shared" si="16"/>
        <v>646.78646153718455</v>
      </c>
      <c r="Z26" s="111">
        <f t="shared" si="16"/>
        <v>718.31169393140942</v>
      </c>
      <c r="AA26" s="111">
        <f t="shared" si="16"/>
        <v>783.69504636462148</v>
      </c>
      <c r="AB26" s="111">
        <f t="shared" si="16"/>
        <v>816.95671053592241</v>
      </c>
      <c r="AC26" s="111">
        <f t="shared" si="16"/>
        <v>851.04179379024049</v>
      </c>
      <c r="AD26" s="111">
        <f t="shared" si="16"/>
        <v>885.96755283649372</v>
      </c>
      <c r="AE26" s="111">
        <f t="shared" si="16"/>
        <v>921.75157757579166</v>
      </c>
      <c r="AF26" s="111">
        <f t="shared" si="16"/>
        <v>958.41179722964546</v>
      </c>
      <c r="AG26" s="111">
        <f t="shared" si="16"/>
        <v>995.96648657736046</v>
      </c>
      <c r="AH26" s="111">
        <f t="shared" si="16"/>
        <v>1034.4342723045147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</row>
    <row r="27" spans="1:340" s="11" customFormat="1">
      <c r="B27" s="73"/>
      <c r="C27" s="1"/>
      <c r="D27" s="113"/>
      <c r="E27" s="113"/>
      <c r="F27" s="113"/>
      <c r="G27" s="113"/>
      <c r="H27" s="113"/>
      <c r="I27" s="113"/>
      <c r="J27" s="111"/>
      <c r="K27" s="113"/>
      <c r="L27" s="113"/>
      <c r="M27" s="113"/>
      <c r="N27" s="113"/>
      <c r="O27" s="111"/>
      <c r="P27" s="113"/>
      <c r="Q27" s="113"/>
      <c r="R27" s="113"/>
      <c r="S27" s="113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</row>
    <row r="28" spans="1:340" s="11" customFormat="1">
      <c r="B28" s="40" t="s">
        <v>196</v>
      </c>
      <c r="C28" s="1" t="s">
        <v>195</v>
      </c>
      <c r="D28" s="113"/>
      <c r="E28" s="113"/>
      <c r="F28" s="113"/>
      <c r="G28" s="113"/>
      <c r="H28" s="113"/>
      <c r="I28" s="113"/>
      <c r="J28" s="111"/>
      <c r="K28" s="113"/>
      <c r="L28" s="113"/>
      <c r="M28" s="113"/>
      <c r="N28" s="113"/>
      <c r="O28" s="111"/>
      <c r="P28" s="113"/>
      <c r="Q28" s="113"/>
      <c r="R28" s="113"/>
      <c r="S28" s="113"/>
      <c r="T28" s="111">
        <f>T26*T29</f>
        <v>450.70510585697627</v>
      </c>
      <c r="U28" s="111">
        <f>U26*U29</f>
        <v>135.99</v>
      </c>
      <c r="V28" s="111">
        <f>V31*V17</f>
        <v>142.94580158286567</v>
      </c>
      <c r="W28" s="111">
        <f t="shared" ref="W28:X28" si="17">W31*W17</f>
        <v>149.95158968008292</v>
      </c>
      <c r="X28" s="111">
        <f t="shared" si="17"/>
        <v>157.00764037186485</v>
      </c>
      <c r="Y28" s="111">
        <f>SUM(U28:X28)</f>
        <v>585.89503163481345</v>
      </c>
      <c r="Z28" s="111">
        <f>Z31*Z17</f>
        <v>656.20243543099093</v>
      </c>
      <c r="AA28" s="111">
        <f t="shared" ref="AA28:AH28" si="18">AA31*AA17</f>
        <v>707.67331396010923</v>
      </c>
      <c r="AB28" s="111">
        <f t="shared" si="18"/>
        <v>739.41454348332002</v>
      </c>
      <c r="AC28" s="111">
        <f t="shared" si="18"/>
        <v>771.94878339658601</v>
      </c>
      <c r="AD28" s="111">
        <f t="shared" si="18"/>
        <v>805.29268223496615</v>
      </c>
      <c r="AE28" s="111">
        <f t="shared" si="18"/>
        <v>839.46320956223349</v>
      </c>
      <c r="AF28" s="111">
        <f t="shared" si="18"/>
        <v>874.47766185581611</v>
      </c>
      <c r="AG28" s="111">
        <f t="shared" si="18"/>
        <v>910.35366849605452</v>
      </c>
      <c r="AH28" s="111">
        <f t="shared" si="18"/>
        <v>947.10919786158274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</row>
    <row r="29" spans="1:340" s="101" customFormat="1">
      <c r="B29" s="114" t="s">
        <v>197</v>
      </c>
      <c r="C29" s="115" t="s">
        <v>128</v>
      </c>
      <c r="D29" s="116"/>
      <c r="E29" s="116"/>
      <c r="F29" s="116"/>
      <c r="G29" s="116"/>
      <c r="H29" s="116"/>
      <c r="I29" s="116"/>
      <c r="J29" s="100"/>
      <c r="K29" s="116"/>
      <c r="L29" s="116"/>
      <c r="M29" s="116"/>
      <c r="N29" s="116"/>
      <c r="O29" s="100"/>
      <c r="P29" s="116"/>
      <c r="Q29" s="116"/>
      <c r="R29" s="116"/>
      <c r="S29" s="116"/>
      <c r="T29" s="116">
        <v>0.9</v>
      </c>
      <c r="U29" s="116">
        <v>0.9</v>
      </c>
      <c r="V29" s="116">
        <f>V28/V26</f>
        <v>0.90397196046353967</v>
      </c>
      <c r="W29" s="116">
        <f t="shared" ref="W29:AH29" si="19">W28/W26</f>
        <v>0.90763166505882631</v>
      </c>
      <c r="X29" s="116">
        <f t="shared" si="19"/>
        <v>0.91101452785453141</v>
      </c>
      <c r="Y29" s="116">
        <f t="shared" si="19"/>
        <v>0.90585543525810119</v>
      </c>
      <c r="Z29" s="116">
        <f t="shared" si="19"/>
        <v>0.91353439039745155</v>
      </c>
      <c r="AA29" s="116">
        <f t="shared" si="19"/>
        <v>0.90299577270883702</v>
      </c>
      <c r="AB29" s="116">
        <f t="shared" si="19"/>
        <v>0.90508411761287222</v>
      </c>
      <c r="AC29" s="116">
        <f t="shared" si="19"/>
        <v>0.90706330644303368</v>
      </c>
      <c r="AD29" s="116">
        <f t="shared" si="19"/>
        <v>0.90894150655603501</v>
      </c>
      <c r="AE29" s="116">
        <f t="shared" si="19"/>
        <v>0.91072608931142085</v>
      </c>
      <c r="AF29" s="116">
        <f t="shared" si="19"/>
        <v>0.91242372473247235</v>
      </c>
      <c r="AG29" s="116">
        <f t="shared" si="19"/>
        <v>0.91404046297228891</v>
      </c>
      <c r="AH29" s="116">
        <f t="shared" si="19"/>
        <v>0.91558180468210026</v>
      </c>
    </row>
    <row r="30" spans="1:340" s="120" customFormat="1">
      <c r="B30" s="118"/>
      <c r="C30" s="91"/>
      <c r="D30" s="119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194"/>
      <c r="X30" s="9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</row>
    <row r="31" spans="1:340">
      <c r="B31" s="39" t="s">
        <v>198</v>
      </c>
      <c r="C31" s="5" t="s">
        <v>195</v>
      </c>
      <c r="D31" s="5" t="s">
        <v>40</v>
      </c>
      <c r="E31" s="5" t="s">
        <v>40</v>
      </c>
      <c r="F31" s="5" t="s">
        <v>40</v>
      </c>
      <c r="G31" s="5" t="s">
        <v>40</v>
      </c>
      <c r="H31" s="5" t="s">
        <v>40</v>
      </c>
      <c r="I31" s="5" t="s">
        <v>40</v>
      </c>
      <c r="J31" s="5" t="s">
        <v>40</v>
      </c>
      <c r="K31" s="5" t="s">
        <v>40</v>
      </c>
      <c r="L31" s="81">
        <f>L26/L16</f>
        <v>1.3511739130434781</v>
      </c>
      <c r="M31" s="81"/>
      <c r="N31" s="81"/>
      <c r="O31" s="81">
        <f>O26*0.85/O16</f>
        <v>3.5725375068663356</v>
      </c>
      <c r="P31" s="81"/>
      <c r="Q31" s="81"/>
      <c r="R31" s="81"/>
      <c r="S31" s="81"/>
      <c r="T31" s="81">
        <f>T28/T17</f>
        <v>3.6056408468558101</v>
      </c>
      <c r="U31" s="81">
        <f>U28/U17</f>
        <v>1.0707874015748031</v>
      </c>
      <c r="V31" s="235">
        <f>U31*(1+V32)</f>
        <v>1.0747804630290652</v>
      </c>
      <c r="W31" s="235">
        <f t="shared" ref="W31:X31" si="20">V31*(1+W32)</f>
        <v>1.0787884149646254</v>
      </c>
      <c r="X31" s="235">
        <f t="shared" si="20"/>
        <v>1.0828113129094128</v>
      </c>
      <c r="Y31" s="81">
        <f>Y28/Y17</f>
        <v>4.0406553905849201</v>
      </c>
      <c r="Z31" s="81">
        <f>Y31*(1+Z32)</f>
        <v>4.1012652214436933</v>
      </c>
      <c r="AA31" s="81">
        <f t="shared" ref="AA31:AH31" si="21">Z31*(1+AA32)</f>
        <v>4.1627841997653485</v>
      </c>
      <c r="AB31" s="81">
        <f t="shared" si="21"/>
        <v>4.2252259627618285</v>
      </c>
      <c r="AC31" s="81">
        <f t="shared" si="21"/>
        <v>4.2886043522032553</v>
      </c>
      <c r="AD31" s="81">
        <f t="shared" si="21"/>
        <v>4.3529334174863035</v>
      </c>
      <c r="AE31" s="81">
        <f t="shared" si="21"/>
        <v>4.4182274187485975</v>
      </c>
      <c r="AF31" s="81">
        <f t="shared" si="21"/>
        <v>4.4845008300298259</v>
      </c>
      <c r="AG31" s="81">
        <f t="shared" si="21"/>
        <v>4.5517683424802726</v>
      </c>
      <c r="AH31" s="81">
        <f t="shared" si="21"/>
        <v>4.6200448676174766</v>
      </c>
    </row>
    <row r="32" spans="1:340" s="10" customFormat="1">
      <c r="B32" s="122" t="s">
        <v>199</v>
      </c>
      <c r="C32" s="91" t="s">
        <v>128</v>
      </c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23"/>
      <c r="P32" s="109"/>
      <c r="Q32" s="109"/>
      <c r="R32" s="109"/>
      <c r="S32" s="109"/>
      <c r="T32" s="123"/>
      <c r="U32" s="179"/>
      <c r="V32" s="179">
        <f>(1+$Y$32)^(3/12)-1</f>
        <v>3.7290889380929837E-3</v>
      </c>
      <c r="W32" s="179">
        <f t="shared" ref="W32:X32" si="22">(1+$Y$32)^(3/12)-1</f>
        <v>3.7290889380929837E-3</v>
      </c>
      <c r="X32" s="179">
        <f t="shared" si="22"/>
        <v>3.7290889380929837E-3</v>
      </c>
      <c r="Y32" s="179">
        <v>1.4999999999999999E-2</v>
      </c>
      <c r="Z32" s="179">
        <f>Y32</f>
        <v>1.4999999999999999E-2</v>
      </c>
      <c r="AA32" s="179">
        <f t="shared" ref="AA32:AH32" si="23">Z32</f>
        <v>1.4999999999999999E-2</v>
      </c>
      <c r="AB32" s="179">
        <f t="shared" si="23"/>
        <v>1.4999999999999999E-2</v>
      </c>
      <c r="AC32" s="179">
        <f t="shared" si="23"/>
        <v>1.4999999999999999E-2</v>
      </c>
      <c r="AD32" s="179">
        <f t="shared" si="23"/>
        <v>1.4999999999999999E-2</v>
      </c>
      <c r="AE32" s="179">
        <f t="shared" si="23"/>
        <v>1.4999999999999999E-2</v>
      </c>
      <c r="AF32" s="179">
        <f t="shared" si="23"/>
        <v>1.4999999999999999E-2</v>
      </c>
      <c r="AG32" s="179">
        <f t="shared" si="23"/>
        <v>1.4999999999999999E-2</v>
      </c>
      <c r="AH32" s="179">
        <f t="shared" si="23"/>
        <v>1.4999999999999999E-2</v>
      </c>
    </row>
    <row r="33" spans="1:35" s="10" customFormat="1">
      <c r="C33" s="125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23"/>
      <c r="P33" s="109"/>
      <c r="Q33" s="109"/>
      <c r="R33" s="109"/>
      <c r="S33" s="109"/>
      <c r="T33" s="123"/>
      <c r="U33" s="123"/>
      <c r="V33" s="123"/>
      <c r="W33" s="123"/>
      <c r="X33" s="123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</row>
    <row r="34" spans="1:35" s="128" customFormat="1">
      <c r="B34" s="40" t="s">
        <v>200</v>
      </c>
      <c r="C34" s="1" t="s">
        <v>195</v>
      </c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7"/>
      <c r="P34" s="126"/>
      <c r="Q34" s="126"/>
      <c r="R34" s="126"/>
      <c r="S34" s="126"/>
      <c r="T34" s="111">
        <f>T35*T26</f>
        <v>50.078345095219575</v>
      </c>
      <c r="U34" s="111">
        <f>U26*U35</f>
        <v>15.109999999999996</v>
      </c>
      <c r="V34" s="111">
        <f>V37*V18</f>
        <v>15.184989896071105</v>
      </c>
      <c r="W34" s="111">
        <f t="shared" ref="W34:X34" si="24">W37*W18</f>
        <v>15.260351961865098</v>
      </c>
      <c r="X34" s="111">
        <f t="shared" si="24"/>
        <v>15.336088044434842</v>
      </c>
      <c r="Y34" s="111">
        <f>SUM(U34:X34)</f>
        <v>60.891429902371044</v>
      </c>
      <c r="Z34" s="111">
        <f>Z37*Z18</f>
        <v>62.10925850041847</v>
      </c>
      <c r="AA34" s="111">
        <f t="shared" ref="AA34:AH34" si="25">AA37*AA18</f>
        <v>76.021732404512207</v>
      </c>
      <c r="AB34" s="111">
        <f t="shared" si="25"/>
        <v>77.542167052602451</v>
      </c>
      <c r="AC34" s="111">
        <f t="shared" si="25"/>
        <v>79.093010393654509</v>
      </c>
      <c r="AD34" s="111">
        <f t="shared" si="25"/>
        <v>80.674870601527601</v>
      </c>
      <c r="AE34" s="111">
        <f t="shared" si="25"/>
        <v>82.288368013558156</v>
      </c>
      <c r="AF34" s="111">
        <f t="shared" si="25"/>
        <v>83.934135373829321</v>
      </c>
      <c r="AG34" s="111">
        <f t="shared" si="25"/>
        <v>85.612818081305903</v>
      </c>
      <c r="AH34" s="111">
        <f t="shared" si="25"/>
        <v>87.325074442932021</v>
      </c>
    </row>
    <row r="35" spans="1:35" s="132" customFormat="1">
      <c r="B35" s="114" t="s">
        <v>197</v>
      </c>
      <c r="C35" s="115" t="s">
        <v>128</v>
      </c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30"/>
      <c r="P35" s="129"/>
      <c r="Q35" s="129"/>
      <c r="R35" s="129"/>
      <c r="S35" s="129"/>
      <c r="T35" s="131">
        <f>100%-T29</f>
        <v>9.9999999999999978E-2</v>
      </c>
      <c r="U35" s="131">
        <f>100%-U29</f>
        <v>9.9999999999999978E-2</v>
      </c>
      <c r="V35" s="131">
        <f>V34/V26</f>
        <v>9.602803953646033E-2</v>
      </c>
      <c r="W35" s="131">
        <f t="shared" ref="W35:AH35" si="26">W34/W26</f>
        <v>9.2368334941173705E-2</v>
      </c>
      <c r="X35" s="131">
        <f t="shared" si="26"/>
        <v>8.8985472145468605E-2</v>
      </c>
      <c r="Y35" s="131">
        <f t="shared" si="26"/>
        <v>9.4144564741898695E-2</v>
      </c>
      <c r="Z35" s="131">
        <f t="shared" si="26"/>
        <v>8.6465609602548385E-2</v>
      </c>
      <c r="AA35" s="131">
        <f t="shared" si="26"/>
        <v>9.7004227291162926E-2</v>
      </c>
      <c r="AB35" s="131">
        <f t="shared" si="26"/>
        <v>9.4915882387127837E-2</v>
      </c>
      <c r="AC35" s="131">
        <f t="shared" si="26"/>
        <v>9.2936693556966321E-2</v>
      </c>
      <c r="AD35" s="131">
        <f t="shared" si="26"/>
        <v>9.1058493443965022E-2</v>
      </c>
      <c r="AE35" s="131">
        <f t="shared" si="26"/>
        <v>8.927391068857915E-2</v>
      </c>
      <c r="AF35" s="131">
        <f t="shared" si="26"/>
        <v>8.7576275267527648E-2</v>
      </c>
      <c r="AG35" s="131">
        <f t="shared" si="26"/>
        <v>8.5959537027711058E-2</v>
      </c>
      <c r="AH35" s="131">
        <f t="shared" si="26"/>
        <v>8.441819531789975E-2</v>
      </c>
    </row>
    <row r="36" spans="1:35" s="10" customFormat="1">
      <c r="B36" s="133"/>
      <c r="C36" s="134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23"/>
      <c r="P36" s="109"/>
      <c r="Q36" s="109"/>
      <c r="R36" s="109"/>
      <c r="S36" s="109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</row>
    <row r="37" spans="1:35" s="10" customFormat="1">
      <c r="B37" s="87" t="s">
        <v>198</v>
      </c>
      <c r="C37" s="5" t="s">
        <v>195</v>
      </c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23"/>
      <c r="P37" s="109"/>
      <c r="Q37" s="109"/>
      <c r="R37" s="109"/>
      <c r="S37" s="109"/>
      <c r="T37" s="81">
        <f>T34/T18</f>
        <v>8.3463908492032619</v>
      </c>
      <c r="U37" s="81">
        <f>U34/U18</f>
        <v>1.5109999999999997</v>
      </c>
      <c r="V37" s="235">
        <f>U37*(1+V38)</f>
        <v>1.5184989896071106</v>
      </c>
      <c r="W37" s="235">
        <f t="shared" ref="W37:X37" si="27">V37*(1+W38)</f>
        <v>1.5260351961865097</v>
      </c>
      <c r="X37" s="235">
        <f t="shared" si="27"/>
        <v>1.5336088044434841</v>
      </c>
      <c r="Y37" s="81">
        <f>Y34/Y18</f>
        <v>6.0891429902371046</v>
      </c>
      <c r="Z37" s="81">
        <f>Y37*(1+Z38)</f>
        <v>6.2109258500418472</v>
      </c>
      <c r="AA37" s="81">
        <f t="shared" ref="AA37:AH37" si="28">Z37*(1+AA38)</f>
        <v>6.3351443670426839</v>
      </c>
      <c r="AB37" s="81">
        <f t="shared" si="28"/>
        <v>6.4618472543835379</v>
      </c>
      <c r="AC37" s="81">
        <f t="shared" si="28"/>
        <v>6.5910841994712088</v>
      </c>
      <c r="AD37" s="81">
        <f t="shared" si="28"/>
        <v>6.7229058834606334</v>
      </c>
      <c r="AE37" s="81">
        <f t="shared" si="28"/>
        <v>6.857364001129846</v>
      </c>
      <c r="AF37" s="81">
        <f t="shared" si="28"/>
        <v>6.9945112811524428</v>
      </c>
      <c r="AG37" s="81">
        <f t="shared" si="28"/>
        <v>7.1344015067754913</v>
      </c>
      <c r="AH37" s="81">
        <f t="shared" si="28"/>
        <v>7.2770895369110011</v>
      </c>
    </row>
    <row r="38" spans="1:35" s="132" customFormat="1">
      <c r="B38" s="137" t="s">
        <v>199</v>
      </c>
      <c r="C38" s="138" t="s">
        <v>128</v>
      </c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30"/>
      <c r="P38" s="129"/>
      <c r="Q38" s="129"/>
      <c r="R38" s="129"/>
      <c r="S38" s="129"/>
      <c r="T38" s="130"/>
      <c r="U38" s="179"/>
      <c r="V38" s="179">
        <f>(1+$Y$38)^(3/12)-1</f>
        <v>4.9629315732038215E-3</v>
      </c>
      <c r="W38" s="179">
        <f t="shared" ref="W38:X38" si="29">(1+$Y$38)^(3/12)-1</f>
        <v>4.9629315732038215E-3</v>
      </c>
      <c r="X38" s="179">
        <f t="shared" si="29"/>
        <v>4.9629315732038215E-3</v>
      </c>
      <c r="Y38" s="179">
        <v>0.02</v>
      </c>
      <c r="Z38" s="179">
        <f>Y38</f>
        <v>0.02</v>
      </c>
      <c r="AA38" s="179">
        <f t="shared" ref="AA38:AH38" si="30">Z38</f>
        <v>0.02</v>
      </c>
      <c r="AB38" s="179">
        <f t="shared" si="30"/>
        <v>0.02</v>
      </c>
      <c r="AC38" s="179">
        <f t="shared" si="30"/>
        <v>0.02</v>
      </c>
      <c r="AD38" s="179">
        <f t="shared" si="30"/>
        <v>0.02</v>
      </c>
      <c r="AE38" s="179">
        <f t="shared" si="30"/>
        <v>0.02</v>
      </c>
      <c r="AF38" s="179">
        <f t="shared" si="30"/>
        <v>0.02</v>
      </c>
      <c r="AG38" s="179">
        <f t="shared" si="30"/>
        <v>0.02</v>
      </c>
      <c r="AH38" s="179">
        <f t="shared" si="30"/>
        <v>0.02</v>
      </c>
    </row>
    <row r="39" spans="1:35" s="144" customFormat="1" ht="13.5" customHeight="1">
      <c r="B39" s="142"/>
      <c r="C39" s="138"/>
      <c r="D39" s="143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</row>
    <row r="40" spans="1:35">
      <c r="A40" s="7"/>
      <c r="B40" s="30" t="s">
        <v>202</v>
      </c>
      <c r="C40" s="7"/>
      <c r="D40" s="6">
        <v>2018</v>
      </c>
      <c r="E40" s="6">
        <v>2019</v>
      </c>
      <c r="F40" s="8" t="s">
        <v>0</v>
      </c>
      <c r="G40" s="8" t="s">
        <v>1</v>
      </c>
      <c r="H40" s="8" t="s">
        <v>2</v>
      </c>
      <c r="I40" s="8" t="s">
        <v>3</v>
      </c>
      <c r="J40" s="6">
        <v>2020</v>
      </c>
      <c r="K40" s="8" t="s">
        <v>4</v>
      </c>
      <c r="L40" s="8" t="s">
        <v>5</v>
      </c>
      <c r="M40" s="8" t="s">
        <v>6</v>
      </c>
      <c r="N40" s="8" t="s">
        <v>7</v>
      </c>
      <c r="O40" s="6">
        <v>2021</v>
      </c>
      <c r="P40" s="8" t="s">
        <v>8</v>
      </c>
      <c r="Q40" s="8" t="s">
        <v>9</v>
      </c>
      <c r="R40" s="8" t="s">
        <v>10</v>
      </c>
      <c r="S40" s="8" t="s">
        <v>11</v>
      </c>
      <c r="T40" s="6">
        <v>2022</v>
      </c>
      <c r="U40" s="64" t="s">
        <v>100</v>
      </c>
      <c r="V40" s="63" t="s">
        <v>101</v>
      </c>
      <c r="W40" s="63" t="s">
        <v>102</v>
      </c>
      <c r="X40" s="63" t="s">
        <v>103</v>
      </c>
      <c r="Y40" s="37">
        <v>2023</v>
      </c>
      <c r="Z40" s="37">
        <v>2024</v>
      </c>
      <c r="AA40" s="37">
        <v>2025</v>
      </c>
      <c r="AB40" s="37">
        <v>2026</v>
      </c>
      <c r="AC40" s="37">
        <v>2027</v>
      </c>
      <c r="AD40" s="37">
        <v>2028</v>
      </c>
      <c r="AE40" s="37">
        <v>2029</v>
      </c>
      <c r="AF40" s="37">
        <v>2030</v>
      </c>
      <c r="AG40" s="37">
        <v>2031</v>
      </c>
      <c r="AH40" s="37">
        <v>2032</v>
      </c>
    </row>
    <row r="41" spans="1:35" s="11" customFormat="1">
      <c r="B41" s="73" t="s">
        <v>203</v>
      </c>
      <c r="C41" s="1" t="s">
        <v>142</v>
      </c>
      <c r="D41" s="152">
        <v>5754</v>
      </c>
      <c r="E41" s="152">
        <v>6217</v>
      </c>
      <c r="F41" s="152">
        <v>6445</v>
      </c>
      <c r="G41" s="152">
        <v>7112</v>
      </c>
      <c r="H41" s="152">
        <v>7167</v>
      </c>
      <c r="I41" s="152">
        <v>7576</v>
      </c>
      <c r="J41" s="152">
        <v>7079</v>
      </c>
      <c r="K41" s="152">
        <v>7321</v>
      </c>
      <c r="L41" s="152">
        <v>7531</v>
      </c>
      <c r="M41" s="152">
        <v>7626</v>
      </c>
      <c r="N41" s="152">
        <v>8044</v>
      </c>
      <c r="O41" s="153">
        <v>7644</v>
      </c>
      <c r="P41" s="153">
        <v>8290</v>
      </c>
      <c r="Q41" s="153">
        <v>8431</v>
      </c>
      <c r="R41" s="153">
        <v>8600</v>
      </c>
      <c r="S41" s="153">
        <v>8822</v>
      </c>
      <c r="T41" s="153">
        <v>8581</v>
      </c>
      <c r="U41" s="153">
        <v>8985</v>
      </c>
      <c r="V41" s="153">
        <f>V44*V29+V47*V35</f>
        <v>9145.9520638447011</v>
      </c>
      <c r="W41" s="153">
        <f t="shared" ref="W41:AH41" si="31">W44*W29+W47*W35</f>
        <v>9310.0623702400499</v>
      </c>
      <c r="X41" s="153">
        <f t="shared" si="31"/>
        <v>9477.3657591947976</v>
      </c>
      <c r="Y41" s="153">
        <f t="shared" si="31"/>
        <v>9238.579539810371</v>
      </c>
      <c r="Z41" s="153">
        <f t="shared" si="31"/>
        <v>9756.5044128143836</v>
      </c>
      <c r="AA41" s="153">
        <f t="shared" si="31"/>
        <v>10312.63366352284</v>
      </c>
      <c r="AB41" s="153">
        <f t="shared" si="31"/>
        <v>10882.230708575657</v>
      </c>
      <c r="AC41" s="153">
        <f t="shared" si="31"/>
        <v>11483.243410481584</v>
      </c>
      <c r="AD41" s="153">
        <f t="shared" si="31"/>
        <v>12117.406493224562</v>
      </c>
      <c r="AE41" s="153">
        <f t="shared" si="31"/>
        <v>12786.5503763287</v>
      </c>
      <c r="AF41" s="153">
        <f t="shared" si="31"/>
        <v>13492.606469352913</v>
      </c>
      <c r="AG41" s="153">
        <f t="shared" si="31"/>
        <v>14237.612757835028</v>
      </c>
      <c r="AH41" s="153">
        <f t="shared" si="31"/>
        <v>15023.719696980676</v>
      </c>
      <c r="AI41" s="154"/>
    </row>
    <row r="42" spans="1:35" s="11" customFormat="1">
      <c r="B42" s="89" t="s">
        <v>204</v>
      </c>
      <c r="C42" s="147" t="s">
        <v>128</v>
      </c>
      <c r="D42" s="139" t="s">
        <v>40</v>
      </c>
      <c r="E42" s="139">
        <f>(E41-D41)/D41</f>
        <v>8.0465762947514771E-2</v>
      </c>
      <c r="F42" s="139" t="s">
        <v>40</v>
      </c>
      <c r="G42" s="139" t="s">
        <v>40</v>
      </c>
      <c r="H42" s="139" t="s">
        <v>40</v>
      </c>
      <c r="I42" s="139" t="s">
        <v>40</v>
      </c>
      <c r="J42" s="139">
        <f t="shared" ref="J42:T42" si="32">(J41-E41)/E41</f>
        <v>0.13865208299823065</v>
      </c>
      <c r="K42" s="139">
        <f t="shared" si="32"/>
        <v>0.13591931730023274</v>
      </c>
      <c r="L42" s="139">
        <f t="shared" si="32"/>
        <v>5.8914510686164233E-2</v>
      </c>
      <c r="M42" s="139">
        <f t="shared" si="32"/>
        <v>6.4043532858936797E-2</v>
      </c>
      <c r="N42" s="139">
        <f t="shared" si="32"/>
        <v>6.1774023231256601E-2</v>
      </c>
      <c r="O42" s="139">
        <f t="shared" si="32"/>
        <v>7.9813532984884875E-2</v>
      </c>
      <c r="P42" s="139">
        <f t="shared" si="32"/>
        <v>0.13235896735418659</v>
      </c>
      <c r="Q42" s="139">
        <f t="shared" si="32"/>
        <v>0.1195060416943301</v>
      </c>
      <c r="R42" s="139">
        <f t="shared" si="32"/>
        <v>0.12772095462890112</v>
      </c>
      <c r="S42" s="139">
        <f t="shared" si="32"/>
        <v>9.6718050721034315E-2</v>
      </c>
      <c r="T42" s="139">
        <f t="shared" si="32"/>
        <v>0.12257980115122973</v>
      </c>
      <c r="U42" s="139">
        <f>(U41-P41)/P41</f>
        <v>8.3835946924004826E-2</v>
      </c>
      <c r="V42" s="139"/>
      <c r="W42" s="139"/>
      <c r="X42" s="139"/>
      <c r="Y42" s="139">
        <f>(Y41-T41)/Y41</f>
        <v>7.1177558950135777E-2</v>
      </c>
      <c r="Z42" s="139">
        <f>(Z41-Y41)/Z41</f>
        <v>5.3085085712026123E-2</v>
      </c>
      <c r="AA42" s="139">
        <f t="shared" ref="AA42:AH42" si="33">(AA41-Z41)/AA41</f>
        <v>5.3926985952730933E-2</v>
      </c>
      <c r="AB42" s="139">
        <f t="shared" si="33"/>
        <v>5.2341938000262218E-2</v>
      </c>
      <c r="AC42" s="139">
        <f t="shared" si="33"/>
        <v>5.233823584696809E-2</v>
      </c>
      <c r="AD42" s="139">
        <f t="shared" si="33"/>
        <v>5.2334885612492235E-2</v>
      </c>
      <c r="AE42" s="139">
        <f t="shared" si="33"/>
        <v>5.2331853659521865E-2</v>
      </c>
      <c r="AF42" s="139">
        <f t="shared" si="33"/>
        <v>5.2329110363364441E-2</v>
      </c>
      <c r="AG42" s="139">
        <f t="shared" si="33"/>
        <v>5.2326629551863173E-2</v>
      </c>
      <c r="AH42" s="139">
        <f t="shared" si="33"/>
        <v>5.2324388034451413E-2</v>
      </c>
      <c r="AI42" s="154"/>
    </row>
    <row r="43" spans="1:35" s="11" customFormat="1">
      <c r="B43" s="158"/>
      <c r="C43" s="155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236"/>
      <c r="Z43" s="147"/>
      <c r="AA43" s="147"/>
      <c r="AB43" s="147"/>
      <c r="AC43" s="147"/>
      <c r="AD43" s="147"/>
      <c r="AE43" s="147"/>
      <c r="AF43" s="147"/>
      <c r="AG43" s="147"/>
      <c r="AH43" s="147"/>
      <c r="AI43" s="154"/>
    </row>
    <row r="44" spans="1:35" s="11" customFormat="1">
      <c r="B44" s="40" t="s">
        <v>207</v>
      </c>
      <c r="C44" s="1" t="s">
        <v>142</v>
      </c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U44" s="159">
        <f>(U41-(U47*U35))/U29</f>
        <v>8872.8666666666668</v>
      </c>
      <c r="V44" s="97">
        <f>Scenarios!C27</f>
        <v>9035.1687711504128</v>
      </c>
      <c r="W44" s="97">
        <f>Scenarios!D27</f>
        <v>9200.4396989141042</v>
      </c>
      <c r="X44" s="97">
        <f>Scenarios!E27</f>
        <v>9368.7337555485137</v>
      </c>
      <c r="Y44" s="97">
        <f>Scenarios!F27</f>
        <v>9129.1846328563042</v>
      </c>
      <c r="Z44" s="97">
        <f>Scenarios!G27</f>
        <v>9645.8964830759705</v>
      </c>
      <c r="AA44" s="97">
        <f>Scenarios!H27</f>
        <v>10176.420789645148</v>
      </c>
      <c r="AB44" s="97">
        <f>Scenarios!I27</f>
        <v>10736.123933075631</v>
      </c>
      <c r="AC44" s="97">
        <f>Scenarios!J27</f>
        <v>11326.610749394789</v>
      </c>
      <c r="AD44" s="97">
        <f>Scenarios!K27</f>
        <v>11949.574340611502</v>
      </c>
      <c r="AE44" s="97">
        <f>Scenarios!L27</f>
        <v>12606.800929345134</v>
      </c>
      <c r="AF44" s="97">
        <f>Scenarios!M27</f>
        <v>13300.174980459116</v>
      </c>
      <c r="AG44" s="97">
        <f>Scenarios!N27</f>
        <v>14031.684604384367</v>
      </c>
      <c r="AH44" s="97">
        <f>Scenarios!O27</f>
        <v>14803.427257625506</v>
      </c>
      <c r="AI44" s="154"/>
    </row>
    <row r="45" spans="1:35" s="11" customFormat="1">
      <c r="B45" s="158" t="s">
        <v>208</v>
      </c>
      <c r="C45" s="155" t="s">
        <v>128</v>
      </c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U45" s="97"/>
      <c r="V45" s="179">
        <f>(1+$Y$45)^(3/12)-1</f>
        <v>1.8291958008732179E-2</v>
      </c>
      <c r="W45" s="179">
        <f t="shared" ref="W45:X45" si="34">(1+$Y$45)^(3/12)-1</f>
        <v>1.8291958008732179E-2</v>
      </c>
      <c r="X45" s="179">
        <f t="shared" si="34"/>
        <v>1.8291958008732179E-2</v>
      </c>
      <c r="Y45" s="179">
        <f>'Macro and Sector Data'!U4+1.5%</f>
        <v>7.5199999999999989E-2</v>
      </c>
      <c r="Z45" s="179">
        <f>'Macro and Sector Data'!V4+1.5%</f>
        <v>5.6599999999999998E-2</v>
      </c>
      <c r="AA45" s="179">
        <f>'Macro and Sector Data'!W4+1.5%</f>
        <v>5.5E-2</v>
      </c>
      <c r="AB45" s="179">
        <f>'Macro and Sector Data'!X4+1.5%</f>
        <v>5.5E-2</v>
      </c>
      <c r="AC45" s="179">
        <f>'Macro and Sector Data'!Y4+1.5%</f>
        <v>5.5E-2</v>
      </c>
      <c r="AD45" s="179">
        <f>'Macro and Sector Data'!Z4+1.5%</f>
        <v>5.5E-2</v>
      </c>
      <c r="AE45" s="179">
        <f>'Macro and Sector Data'!AA4+1.5%</f>
        <v>5.5E-2</v>
      </c>
      <c r="AF45" s="179">
        <f>'Macro and Sector Data'!AB4+1.5%</f>
        <v>5.5E-2</v>
      </c>
      <c r="AG45" s="179">
        <f>'Macro and Sector Data'!AC4+1.5%</f>
        <v>5.5E-2</v>
      </c>
      <c r="AH45" s="179">
        <f>'Macro and Sector Data'!AD4+1.5%</f>
        <v>5.5E-2</v>
      </c>
      <c r="AI45" s="154"/>
    </row>
    <row r="46" spans="1:35" s="160" customFormat="1">
      <c r="B46" s="161"/>
      <c r="C46" s="155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U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</row>
    <row r="47" spans="1:35" s="160" customFormat="1">
      <c r="B47" s="40" t="s">
        <v>209</v>
      </c>
      <c r="C47" s="1" t="s">
        <v>142</v>
      </c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U47" s="228">
        <v>9994.2000000000007</v>
      </c>
      <c r="V47" s="162">
        <f>Scenarios!C35</f>
        <v>10188.824445358217</v>
      </c>
      <c r="W47" s="162">
        <f>Scenarios!D35</f>
        <v>10387.238956427645</v>
      </c>
      <c r="X47" s="162">
        <f>Scenarios!E35</f>
        <v>10589.517339959892</v>
      </c>
      <c r="Y47" s="97">
        <f>Scenarios!F35</f>
        <v>10291.173190071244</v>
      </c>
      <c r="Z47" s="97">
        <f>Scenarios!G35</f>
        <v>10925.109458579633</v>
      </c>
      <c r="AA47" s="97">
        <f>Scenarios!H35</f>
        <v>11580.616026094411</v>
      </c>
      <c r="AB47" s="97">
        <f>Scenarios!I35</f>
        <v>12275.452987660075</v>
      </c>
      <c r="AC47" s="97">
        <f>Scenarios!J35</f>
        <v>13011.98016691968</v>
      </c>
      <c r="AD47" s="97">
        <f>Scenarios!K35</f>
        <v>13792.698976934862</v>
      </c>
      <c r="AE47" s="97">
        <f>Scenarios!L35</f>
        <v>14620.260915550954</v>
      </c>
      <c r="AF47" s="97">
        <f>Scenarios!M35</f>
        <v>15497.476570484012</v>
      </c>
      <c r="AG47" s="97">
        <f>Scenarios!N35</f>
        <v>16427.325164713053</v>
      </c>
      <c r="AH47" s="97">
        <f>Scenarios!O35</f>
        <v>17412.964674595838</v>
      </c>
    </row>
    <row r="48" spans="1:35" s="160" customFormat="1">
      <c r="B48" s="158" t="s">
        <v>208</v>
      </c>
      <c r="C48" s="155" t="s">
        <v>128</v>
      </c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62"/>
      <c r="U48" s="162"/>
      <c r="V48" s="179">
        <f>(1+$Y$48)^(3/12)-1</f>
        <v>1.9473739304618265E-2</v>
      </c>
      <c r="W48" s="179">
        <f>(1+$Y$48)^(3/12)-1</f>
        <v>1.9473739304618265E-2</v>
      </c>
      <c r="X48" s="179">
        <f t="shared" ref="X48" si="35">(1+$Y$48)^(3/12)-1</f>
        <v>1.9473739304618265E-2</v>
      </c>
      <c r="Y48" s="145">
        <f>'Macro and Sector Data'!U4+2%</f>
        <v>8.0199999999999994E-2</v>
      </c>
      <c r="Z48" s="145">
        <f>'Macro and Sector Data'!V4+2%</f>
        <v>6.1600000000000002E-2</v>
      </c>
      <c r="AA48" s="145">
        <f>'Macro and Sector Data'!W4+2%</f>
        <v>0.06</v>
      </c>
      <c r="AB48" s="145">
        <f>'Macro and Sector Data'!X4+2%</f>
        <v>0.06</v>
      </c>
      <c r="AC48" s="145">
        <f>'Macro and Sector Data'!Y4+2%</f>
        <v>0.06</v>
      </c>
      <c r="AD48" s="145">
        <f>'Macro and Sector Data'!Z4+2%</f>
        <v>0.06</v>
      </c>
      <c r="AE48" s="145">
        <f>'Macro and Sector Data'!AA4+2%</f>
        <v>0.06</v>
      </c>
      <c r="AF48" s="145">
        <f>'Macro and Sector Data'!AB4+2%</f>
        <v>0.06</v>
      </c>
      <c r="AG48" s="145">
        <f>'Macro and Sector Data'!AC4+2%</f>
        <v>0.06</v>
      </c>
      <c r="AH48" s="145">
        <f>'Macro and Sector Data'!AD4+2%</f>
        <v>0.06</v>
      </c>
    </row>
    <row r="49" spans="1:34" ht="14.25" customHeight="1">
      <c r="B49" s="2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>
      <c r="A50" s="7"/>
      <c r="B50" s="30" t="s">
        <v>211</v>
      </c>
      <c r="C50" s="7"/>
      <c r="D50" s="6">
        <v>2018</v>
      </c>
      <c r="E50" s="6">
        <v>2019</v>
      </c>
      <c r="F50" s="8" t="s">
        <v>0</v>
      </c>
      <c r="G50" s="8" t="s">
        <v>1</v>
      </c>
      <c r="H50" s="8" t="s">
        <v>2</v>
      </c>
      <c r="I50" s="8" t="s">
        <v>3</v>
      </c>
      <c r="J50" s="6">
        <v>2020</v>
      </c>
      <c r="K50" s="8" t="s">
        <v>4</v>
      </c>
      <c r="L50" s="8" t="s">
        <v>5</v>
      </c>
      <c r="M50" s="8" t="s">
        <v>6</v>
      </c>
      <c r="N50" s="8" t="s">
        <v>7</v>
      </c>
      <c r="O50" s="6">
        <v>2021</v>
      </c>
      <c r="P50" s="8" t="s">
        <v>8</v>
      </c>
      <c r="Q50" s="8" t="s">
        <v>9</v>
      </c>
      <c r="R50" s="8" t="s">
        <v>10</v>
      </c>
      <c r="S50" s="8" t="s">
        <v>11</v>
      </c>
      <c r="T50" s="6">
        <v>2022</v>
      </c>
      <c r="U50" s="64" t="s">
        <v>100</v>
      </c>
      <c r="V50" s="63" t="s">
        <v>101</v>
      </c>
      <c r="W50" s="63" t="s">
        <v>102</v>
      </c>
      <c r="X50" s="63" t="s">
        <v>103</v>
      </c>
      <c r="Y50" s="37">
        <v>2023</v>
      </c>
      <c r="Z50" s="37">
        <v>2024</v>
      </c>
      <c r="AA50" s="37">
        <v>2025</v>
      </c>
      <c r="AB50" s="37">
        <v>2026</v>
      </c>
      <c r="AC50" s="37">
        <v>2027</v>
      </c>
      <c r="AD50" s="37">
        <v>2028</v>
      </c>
      <c r="AE50" s="37">
        <v>2029</v>
      </c>
      <c r="AF50" s="37">
        <v>2030</v>
      </c>
      <c r="AG50" s="37">
        <v>2031</v>
      </c>
      <c r="AH50" s="37">
        <v>2032</v>
      </c>
    </row>
    <row r="51" spans="1:34" s="11" customFormat="1">
      <c r="B51" s="107" t="s">
        <v>130</v>
      </c>
      <c r="C51" s="1" t="s">
        <v>16</v>
      </c>
      <c r="D51" s="229">
        <f>-IS!D9</f>
        <v>741.43</v>
      </c>
      <c r="E51" s="229">
        <f>-IS!E9</f>
        <v>1228.981</v>
      </c>
      <c r="F51" s="229">
        <f>-IS!F9</f>
        <v>326.11200000000002</v>
      </c>
      <c r="G51" s="229">
        <f>-IS!G9</f>
        <v>330.86</v>
      </c>
      <c r="H51" s="229">
        <f>-IS!H9</f>
        <v>356.661</v>
      </c>
      <c r="I51" s="229">
        <f>-IS!I9</f>
        <v>385.82600000000002</v>
      </c>
      <c r="J51" s="229">
        <f>-IS!J9</f>
        <v>1399.4590000000001</v>
      </c>
      <c r="K51" s="229">
        <f>-IS!K9</f>
        <v>419.78228619999999</v>
      </c>
      <c r="L51" s="229">
        <f>-IS!L9</f>
        <v>450.70571380000001</v>
      </c>
      <c r="M51" s="229">
        <f>-IS!M9</f>
        <v>460.52</v>
      </c>
      <c r="N51" s="229">
        <f>-IS!N9</f>
        <v>502.267</v>
      </c>
      <c r="O51" s="229">
        <f>-IS!O9</f>
        <v>1833.2750000000001</v>
      </c>
      <c r="P51" s="229">
        <f>-IS!P9</f>
        <v>536.62099999999998</v>
      </c>
      <c r="Q51" s="229">
        <f>-IS!Q9</f>
        <v>578.61400000000003</v>
      </c>
      <c r="R51" s="229">
        <f>-IS!R9</f>
        <v>756.47299999999996</v>
      </c>
      <c r="S51" s="229">
        <f>-IS!S9</f>
        <v>764.43700000000001</v>
      </c>
      <c r="T51" s="229">
        <f>-IS!T9</f>
        <v>2636.145</v>
      </c>
      <c r="U51" s="229">
        <f>-IS!U9</f>
        <v>822.9</v>
      </c>
      <c r="V51" s="167">
        <f>V54+V60</f>
        <v>925.31875411112685</v>
      </c>
      <c r="W51" s="167">
        <f t="shared" ref="W51:AH51" si="36">W54+W60</f>
        <v>930.80713316499123</v>
      </c>
      <c r="X51" s="167">
        <f t="shared" si="36"/>
        <v>1020.6286243692473</v>
      </c>
      <c r="Y51" s="167">
        <f t="shared" si="36"/>
        <v>3699.6545116453653</v>
      </c>
      <c r="Z51" s="167">
        <f t="shared" si="36"/>
        <v>4327.6587466098672</v>
      </c>
      <c r="AA51" s="167">
        <f t="shared" si="36"/>
        <v>4973.5871894853572</v>
      </c>
      <c r="AB51" s="167">
        <f t="shared" si="36"/>
        <v>5455.976268168225</v>
      </c>
      <c r="AC51" s="167">
        <f t="shared" si="36"/>
        <v>5981.4114135097025</v>
      </c>
      <c r="AD51" s="167">
        <f t="shared" si="36"/>
        <v>6553.5720894481474</v>
      </c>
      <c r="AE51" s="167">
        <f t="shared" si="36"/>
        <v>7176.4437952419776</v>
      </c>
      <c r="AF51" s="167">
        <f t="shared" si="36"/>
        <v>7854.3430242857721</v>
      </c>
      <c r="AG51" s="167">
        <f t="shared" si="36"/>
        <v>8591.9442278397873</v>
      </c>
      <c r="AH51" s="167">
        <f t="shared" si="36"/>
        <v>9394.3089427836985</v>
      </c>
    </row>
    <row r="52" spans="1:34" s="78" customFormat="1">
      <c r="B52" s="77" t="s">
        <v>212</v>
      </c>
      <c r="C52" s="90" t="s">
        <v>128</v>
      </c>
      <c r="D52" s="168">
        <f>IS!D38</f>
        <v>0.29443795225896341</v>
      </c>
      <c r="E52" s="168">
        <f>IS!E38</f>
        <v>0.27258139934063724</v>
      </c>
      <c r="F52" s="168">
        <f>IS!F38</f>
        <v>0.2806760205488365</v>
      </c>
      <c r="G52" s="168">
        <f>IS!G38</f>
        <v>0.31450000517968313</v>
      </c>
      <c r="H52" s="168">
        <f>IS!H38</f>
        <v>0.3204619154133117</v>
      </c>
      <c r="I52" s="168">
        <f>IS!I38</f>
        <v>0.32813793673024894</v>
      </c>
      <c r="J52" s="168">
        <f>IS!J38</f>
        <v>0.31235101707960039</v>
      </c>
      <c r="K52" s="168">
        <f>IS!K38</f>
        <v>0.31692959066116461</v>
      </c>
      <c r="L52" s="168">
        <f>IS!L38</f>
        <v>0.29600881922479166</v>
      </c>
      <c r="M52" s="168">
        <f>IS!M38</f>
        <v>0.32218657089870784</v>
      </c>
      <c r="N52" s="168">
        <f>IS!N38</f>
        <v>0.34590345614348084</v>
      </c>
      <c r="O52" s="168">
        <f>IS!O38</f>
        <v>0.32152841566416207</v>
      </c>
      <c r="P52" s="168">
        <f>IS!P38</f>
        <v>0.33582564310751134</v>
      </c>
      <c r="Q52" s="168">
        <f>IS!Q38</f>
        <v>0.35702411379042109</v>
      </c>
      <c r="R52" s="168">
        <f>IS!R38</f>
        <v>0.35003763300431673</v>
      </c>
      <c r="S52" s="168">
        <f>IS!S38</f>
        <v>0.37162399878999908</v>
      </c>
      <c r="T52" s="168">
        <f>IS!T38</f>
        <v>0.35519018886311321</v>
      </c>
      <c r="U52" s="168">
        <f>IS!U38</f>
        <v>0.36381909547738694</v>
      </c>
      <c r="V52" s="168">
        <f>IS!V12/IS!V8</f>
        <v>0.30070194635601766</v>
      </c>
      <c r="W52" s="168">
        <f>IS!W12/IS!W8</f>
        <v>0.34841594731523695</v>
      </c>
      <c r="X52" s="168">
        <f>IS!X12/IS!X8</f>
        <v>0.31988095725814714</v>
      </c>
      <c r="Y52" s="168">
        <f>IS!Y12/IS!Y8</f>
        <v>0.33290303796295739</v>
      </c>
      <c r="Z52" s="168">
        <f>IS!Z12/IS!Z8</f>
        <v>0.33043855480049222</v>
      </c>
      <c r="AA52" s="168">
        <f>IS!AA12/IS!AA8</f>
        <v>0.33273605916903981</v>
      </c>
      <c r="AB52" s="168">
        <f>IS!AB12/IS!AB8</f>
        <v>0.33457347011852356</v>
      </c>
      <c r="AC52" s="168">
        <f>IS!AC12/IS!AC8</f>
        <v>0.33635958141768019</v>
      </c>
      <c r="AD52" s="168">
        <f>IS!AD12/IS!AD8</f>
        <v>0.33809570424989138</v>
      </c>
      <c r="AE52" s="168">
        <f>IS!AE12/IS!AE8</f>
        <v>0.3397831307513321</v>
      </c>
      <c r="AF52" s="168">
        <f>IS!AF12/IS!AF8</f>
        <v>0.34142313215311892</v>
      </c>
      <c r="AG52" s="168">
        <f>IS!AG12/IS!AG8</f>
        <v>0.34301695732931614</v>
      </c>
      <c r="AH52" s="168">
        <f>IS!AH12/IS!AH8</f>
        <v>0.34456583168114996</v>
      </c>
    </row>
    <row r="53" spans="1:34">
      <c r="Y53" s="234"/>
    </row>
    <row r="54" spans="1:34">
      <c r="B54" s="40" t="s">
        <v>213</v>
      </c>
      <c r="C54" s="1" t="s">
        <v>16</v>
      </c>
      <c r="D54" s="167">
        <f>-IS!D10</f>
        <v>645.64599999999996</v>
      </c>
      <c r="E54" s="167">
        <f>-IS!E10</f>
        <v>1086.818</v>
      </c>
      <c r="F54" s="167">
        <f>-IS!F10</f>
        <v>326.11</v>
      </c>
      <c r="G54" s="167">
        <f>-IS!G10</f>
        <v>330.85300000000001</v>
      </c>
      <c r="H54" s="167">
        <f>-IS!H10</f>
        <v>296.51100000000002</v>
      </c>
      <c r="I54" s="167">
        <f>-IS!I10</f>
        <v>344.12900000000013</v>
      </c>
      <c r="J54" s="167">
        <f>-IS!J10</f>
        <v>1297.6030000000001</v>
      </c>
      <c r="K54" s="167">
        <f>-IS!K10</f>
        <v>374.42700000000002</v>
      </c>
      <c r="L54" s="167">
        <f>-IS!L10</f>
        <v>433.596</v>
      </c>
      <c r="M54" s="167">
        <f>-IS!M10</f>
        <v>384.83100000000002</v>
      </c>
      <c r="N54" s="167">
        <f>-IS!N10</f>
        <v>499.84199999999987</v>
      </c>
      <c r="O54" s="167">
        <f>-IS!O10</f>
        <v>1692.6959999999999</v>
      </c>
      <c r="P54" s="167">
        <f>-IS!P10</f>
        <v>482.44099999999997</v>
      </c>
      <c r="Q54" s="167">
        <f>-IS!Q10</f>
        <v>543.29300000000001</v>
      </c>
      <c r="R54" s="167">
        <f>-IS!R10</f>
        <v>659.89800000000002</v>
      </c>
      <c r="S54" s="167">
        <f>-IS!S10</f>
        <v>716.88699999999972</v>
      </c>
      <c r="T54" s="167">
        <f>-IS!T10</f>
        <v>2402.5189999999998</v>
      </c>
      <c r="U54" s="167">
        <f>-IS!U10</f>
        <v>736.53899999999999</v>
      </c>
      <c r="V54" s="167">
        <f>(V56*V26)/1000</f>
        <v>833.84845846397775</v>
      </c>
      <c r="W54" s="167">
        <f t="shared" ref="W54:X54" si="37">(W56*W26)/1000</f>
        <v>834.09582368447332</v>
      </c>
      <c r="X54" s="167">
        <f t="shared" si="37"/>
        <v>918.5418119670901</v>
      </c>
      <c r="Y54" s="167">
        <f>SUM(U54:X54)</f>
        <v>3323.0250941155409</v>
      </c>
      <c r="Z54" s="167">
        <f>(Z56*Z26)/1000</f>
        <v>3897.3973000237957</v>
      </c>
      <c r="AA54" s="167">
        <f t="shared" ref="AA54:AH54" si="38">(AA56*AA26)/1000</f>
        <v>4494.5290329570535</v>
      </c>
      <c r="AB54" s="167">
        <f t="shared" si="38"/>
        <v>4944.0684094779808</v>
      </c>
      <c r="AC54" s="167">
        <f t="shared" si="38"/>
        <v>5434.7923695350073</v>
      </c>
      <c r="AD54" s="167">
        <f t="shared" si="38"/>
        <v>5970.2840179401501</v>
      </c>
      <c r="AE54" s="167">
        <f t="shared" si="38"/>
        <v>6554.4277644683734</v>
      </c>
      <c r="AF54" s="167">
        <f t="shared" si="38"/>
        <v>7191.4340584197244</v>
      </c>
      <c r="AG54" s="167">
        <f t="shared" si="38"/>
        <v>7885.8661177231397</v>
      </c>
      <c r="AH54" s="167">
        <f t="shared" si="38"/>
        <v>8642.6688112217871</v>
      </c>
    </row>
    <row r="55" spans="1:34" s="100" customFormat="1">
      <c r="B55" s="114" t="s">
        <v>214</v>
      </c>
      <c r="C55" s="100" t="s">
        <v>128</v>
      </c>
      <c r="D55" s="100">
        <f>D54/D51</f>
        <v>0.87081180961115678</v>
      </c>
      <c r="E55" s="100">
        <f t="shared" ref="E55:U55" si="39">E54/E51</f>
        <v>0.88432449321836548</v>
      </c>
      <c r="F55" s="100">
        <f t="shared" si="39"/>
        <v>0.99999386713767047</v>
      </c>
      <c r="G55" s="100">
        <f t="shared" si="39"/>
        <v>0.99997884301517259</v>
      </c>
      <c r="H55" s="100">
        <f t="shared" si="39"/>
        <v>0.83135246074003055</v>
      </c>
      <c r="I55" s="100">
        <f t="shared" si="39"/>
        <v>0.89192796752940473</v>
      </c>
      <c r="J55" s="100">
        <f t="shared" si="39"/>
        <v>0.9272175890826384</v>
      </c>
      <c r="K55" s="100">
        <f t="shared" si="39"/>
        <v>0.89195521657054622</v>
      </c>
      <c r="L55" s="100">
        <f t="shared" si="39"/>
        <v>0.96203794787568986</v>
      </c>
      <c r="M55" s="100">
        <f t="shared" si="39"/>
        <v>0.83564448883870412</v>
      </c>
      <c r="N55" s="100">
        <f t="shared" si="39"/>
        <v>0.99517189064780265</v>
      </c>
      <c r="O55" s="100">
        <f t="shared" si="39"/>
        <v>0.9233181055760864</v>
      </c>
      <c r="P55" s="100">
        <f t="shared" si="39"/>
        <v>0.89903488681956167</v>
      </c>
      <c r="Q55" s="100">
        <f t="shared" si="39"/>
        <v>0.93895584966834533</v>
      </c>
      <c r="R55" s="100">
        <f t="shared" si="39"/>
        <v>0.87233516596097949</v>
      </c>
      <c r="S55" s="100">
        <f t="shared" si="39"/>
        <v>0.93779735936381903</v>
      </c>
      <c r="T55" s="100">
        <f t="shared" si="39"/>
        <v>0.91137589169032807</v>
      </c>
      <c r="U55" s="100">
        <f t="shared" si="39"/>
        <v>0.89505286183011301</v>
      </c>
      <c r="V55" s="100">
        <f>V54/V51</f>
        <v>0.90114725845471855</v>
      </c>
      <c r="W55" s="100">
        <f t="shared" ref="W55:AH55" si="40">W54/W51</f>
        <v>0.89609951832698809</v>
      </c>
      <c r="X55" s="100">
        <f t="shared" si="40"/>
        <v>0.8999765341039232</v>
      </c>
      <c r="Y55" s="100">
        <f t="shared" si="40"/>
        <v>0.89819875981816366</v>
      </c>
      <c r="Z55" s="100">
        <f t="shared" si="40"/>
        <v>0.90057870276321517</v>
      </c>
      <c r="AA55" s="100">
        <f t="shared" si="40"/>
        <v>0.90367954993508937</v>
      </c>
      <c r="AB55" s="100">
        <f t="shared" si="40"/>
        <v>0.90617483773218266</v>
      </c>
      <c r="AC55" s="100">
        <f t="shared" si="40"/>
        <v>0.90861370232114558</v>
      </c>
      <c r="AD55" s="100">
        <f t="shared" si="40"/>
        <v>0.91099692449448377</v>
      </c>
      <c r="AE55" s="100">
        <f t="shared" si="40"/>
        <v>0.91332531146053086</v>
      </c>
      <c r="AF55" s="100">
        <f t="shared" si="40"/>
        <v>0.91559969257564622</v>
      </c>
      <c r="AG55" s="100">
        <f t="shared" si="40"/>
        <v>0.91782091557009882</v>
      </c>
      <c r="AH55" s="100">
        <f t="shared" si="40"/>
        <v>0.91998984319764265</v>
      </c>
    </row>
    <row r="56" spans="1:34">
      <c r="B56" s="39" t="s">
        <v>205</v>
      </c>
      <c r="C56" s="171" t="s">
        <v>142</v>
      </c>
      <c r="D56" s="170">
        <f t="shared" ref="D56:U56" si="41">D54*1000/D26</f>
        <v>3212.1691542288559</v>
      </c>
      <c r="E56" s="170">
        <f t="shared" si="41"/>
        <v>3622.7266666666665</v>
      </c>
      <c r="F56" s="170">
        <f t="shared" si="41"/>
        <v>4142.8154020097309</v>
      </c>
      <c r="G56" s="170">
        <f t="shared" si="41"/>
        <v>4491.0139812678162</v>
      </c>
      <c r="H56" s="170">
        <f t="shared" si="41"/>
        <v>3728.3849713308518</v>
      </c>
      <c r="I56" s="170">
        <f t="shared" si="41"/>
        <v>4207.8304782167461</v>
      </c>
      <c r="J56" s="170">
        <f t="shared" si="41"/>
        <v>4136.4720208608278</v>
      </c>
      <c r="K56" s="170">
        <f t="shared" si="41"/>
        <v>4172.4464552363552</v>
      </c>
      <c r="L56" s="170">
        <f t="shared" si="41"/>
        <v>4650.770666409242</v>
      </c>
      <c r="M56" s="170">
        <f t="shared" si="41"/>
        <v>3943.9233140069682</v>
      </c>
      <c r="N56" s="170">
        <f t="shared" si="41"/>
        <v>4903.9222853063411</v>
      </c>
      <c r="O56" s="170">
        <f t="shared" si="41"/>
        <v>4425.6768957382583</v>
      </c>
      <c r="P56" s="170">
        <f t="shared" si="41"/>
        <v>4683.1412608208875</v>
      </c>
      <c r="Q56" s="170">
        <f t="shared" si="41"/>
        <v>4860.9466434020569</v>
      </c>
      <c r="R56" s="170">
        <f t="shared" si="41"/>
        <v>4663.5901060070673</v>
      </c>
      <c r="S56" s="170">
        <f t="shared" si="41"/>
        <v>4961.155709342559</v>
      </c>
      <c r="T56" s="170">
        <f t="shared" si="41"/>
        <v>4797.520755591705</v>
      </c>
      <c r="U56" s="170">
        <f t="shared" si="41"/>
        <v>4874.5135671740572</v>
      </c>
      <c r="V56" s="170">
        <f>V57*V41</f>
        <v>5273.1568005529616</v>
      </c>
      <c r="W56" s="170">
        <f>W57*W41</f>
        <v>5048.6412507163031</v>
      </c>
      <c r="X56" s="170">
        <f>X57*X41</f>
        <v>5329.7083706366975</v>
      </c>
      <c r="Y56" s="170">
        <f>Y54*1000/Y26</f>
        <v>5137.74683257574</v>
      </c>
      <c r="Z56" s="170">
        <f>Z57*Z41</f>
        <v>5425.7745390345162</v>
      </c>
      <c r="AA56" s="170">
        <f t="shared" ref="AA56:AH56" si="42">AA57*AA41</f>
        <v>5735.0484143113135</v>
      </c>
      <c r="AB56" s="170">
        <f t="shared" si="42"/>
        <v>6051.8119818548021</v>
      </c>
      <c r="AC56" s="170">
        <f t="shared" si="42"/>
        <v>6386.0463836098525</v>
      </c>
      <c r="AD56" s="170">
        <f t="shared" si="42"/>
        <v>6738.7163320212157</v>
      </c>
      <c r="AE56" s="170">
        <f t="shared" si="42"/>
        <v>7110.8397576129255</v>
      </c>
      <c r="AF56" s="170">
        <f t="shared" si="42"/>
        <v>7503.4907533557634</v>
      </c>
      <c r="AG56" s="170">
        <f t="shared" si="42"/>
        <v>7917.8026811152295</v>
      </c>
      <c r="AH56" s="170">
        <f t="shared" si="42"/>
        <v>8354.9714492421372</v>
      </c>
    </row>
    <row r="57" spans="1:34" s="78" customFormat="1">
      <c r="B57" s="146" t="s">
        <v>206</v>
      </c>
      <c r="C57"/>
      <c r="D57" s="157">
        <f t="shared" ref="D57:U57" si="43">D56/D41</f>
        <v>0.55824976611554677</v>
      </c>
      <c r="E57" s="157">
        <f t="shared" si="43"/>
        <v>0.58271299126052223</v>
      </c>
      <c r="F57" s="157">
        <f t="shared" si="43"/>
        <v>0.6427952524452647</v>
      </c>
      <c r="G57" s="157">
        <f t="shared" si="43"/>
        <v>0.63146990737736453</v>
      </c>
      <c r="H57" s="157">
        <f t="shared" si="43"/>
        <v>0.5202155673686133</v>
      </c>
      <c r="I57" s="157">
        <f t="shared" si="43"/>
        <v>0.55541584981741632</v>
      </c>
      <c r="J57" s="157">
        <f t="shared" si="43"/>
        <v>0.58432999305845856</v>
      </c>
      <c r="K57" s="157">
        <f t="shared" si="43"/>
        <v>0.56992848726080525</v>
      </c>
      <c r="L57" s="157">
        <f t="shared" si="43"/>
        <v>0.61755021463407811</v>
      </c>
      <c r="M57" s="157">
        <f t="shared" si="43"/>
        <v>0.5171680191459439</v>
      </c>
      <c r="N57" s="157">
        <f t="shared" si="43"/>
        <v>0.60963728061988331</v>
      </c>
      <c r="O57" s="157">
        <f t="shared" si="43"/>
        <v>0.5789739528699972</v>
      </c>
      <c r="P57" s="157">
        <f t="shared" si="43"/>
        <v>0.56491450673352084</v>
      </c>
      <c r="Q57" s="157">
        <f t="shared" si="43"/>
        <v>0.57655635670763339</v>
      </c>
      <c r="R57" s="157">
        <f t="shared" si="43"/>
        <v>0.54227791930314739</v>
      </c>
      <c r="S57" s="157">
        <f t="shared" si="43"/>
        <v>0.56236178976904994</v>
      </c>
      <c r="T57" s="157">
        <f t="shared" si="43"/>
        <v>0.55908644162588339</v>
      </c>
      <c r="U57" s="157">
        <f t="shared" si="43"/>
        <v>0.54251681326366807</v>
      </c>
      <c r="V57" s="232">
        <f>Q57</f>
        <v>0.57655635670763339</v>
      </c>
      <c r="W57" s="232">
        <f t="shared" ref="W57:X57" si="44">R57</f>
        <v>0.54227791930314739</v>
      </c>
      <c r="X57" s="232">
        <f t="shared" si="44"/>
        <v>0.56236178976904994</v>
      </c>
      <c r="Y57" s="232">
        <f>Y56/Y41</f>
        <v>0.55611869881473097</v>
      </c>
      <c r="Z57" s="232">
        <f>Y57</f>
        <v>0.55611869881473097</v>
      </c>
      <c r="AA57" s="232">
        <f t="shared" ref="AA57:AH57" si="45">Z57</f>
        <v>0.55611869881473097</v>
      </c>
      <c r="AB57" s="232">
        <f t="shared" si="45"/>
        <v>0.55611869881473097</v>
      </c>
      <c r="AC57" s="232">
        <f t="shared" si="45"/>
        <v>0.55611869881473097</v>
      </c>
      <c r="AD57" s="232">
        <f t="shared" si="45"/>
        <v>0.55611869881473097</v>
      </c>
      <c r="AE57" s="232">
        <f t="shared" si="45"/>
        <v>0.55611869881473097</v>
      </c>
      <c r="AF57" s="232">
        <f t="shared" si="45"/>
        <v>0.55611869881473097</v>
      </c>
      <c r="AG57" s="232">
        <f t="shared" si="45"/>
        <v>0.55611869881473097</v>
      </c>
      <c r="AH57" s="232">
        <f t="shared" si="45"/>
        <v>0.55611869881473097</v>
      </c>
    </row>
    <row r="58" spans="1:34" s="172" customFormat="1">
      <c r="B58" s="173" t="s">
        <v>215</v>
      </c>
      <c r="C58" s="100" t="s">
        <v>128</v>
      </c>
      <c r="D58" s="147" t="s">
        <v>40</v>
      </c>
      <c r="E58" s="147">
        <f>(E56-D56)/D56</f>
        <v>0.1278131669676571</v>
      </c>
      <c r="F58" s="147"/>
      <c r="G58" s="147"/>
      <c r="H58" s="147"/>
      <c r="I58" s="147"/>
      <c r="J58" s="147">
        <f>(J56-E56)/E56</f>
        <v>0.14181179025213828</v>
      </c>
      <c r="K58" s="147"/>
      <c r="L58" s="147"/>
      <c r="M58" s="147"/>
      <c r="N58" s="147"/>
      <c r="O58" s="147">
        <f>(O56-J56)/J56</f>
        <v>6.9915830064588472E-2</v>
      </c>
      <c r="P58" s="147"/>
      <c r="Q58" s="147"/>
      <c r="R58" s="147"/>
      <c r="S58" s="147"/>
      <c r="T58" s="147">
        <f>(T56-O56)/O56</f>
        <v>8.4019658148003704E-2</v>
      </c>
      <c r="U58" s="147">
        <f>(U56-P56)/U56</f>
        <v>3.9259775096721211E-2</v>
      </c>
      <c r="V58" s="147"/>
      <c r="W58" s="147"/>
      <c r="X58" s="147"/>
      <c r="Y58" s="147">
        <f>(Y56-T56)/Y56</f>
        <v>6.6220872314463039E-2</v>
      </c>
      <c r="Z58" s="147">
        <f>(Z56-Y56)/Z56</f>
        <v>5.3085085712026116E-2</v>
      </c>
      <c r="AA58" s="147">
        <f t="shared" ref="AA58:AH58" si="46">(AA56-Z56)/AA56</f>
        <v>5.3926985952730808E-2</v>
      </c>
      <c r="AB58" s="147">
        <f t="shared" si="46"/>
        <v>5.2341938000262295E-2</v>
      </c>
      <c r="AC58" s="147">
        <f t="shared" si="46"/>
        <v>5.2338235846968131E-2</v>
      </c>
      <c r="AD58" s="147">
        <f t="shared" si="46"/>
        <v>5.2334885612492194E-2</v>
      </c>
      <c r="AE58" s="147">
        <f t="shared" si="46"/>
        <v>5.2331853659521893E-2</v>
      </c>
      <c r="AF58" s="147">
        <f t="shared" si="46"/>
        <v>5.2329110363364392E-2</v>
      </c>
      <c r="AG58" s="147">
        <f t="shared" si="46"/>
        <v>5.2326629551863221E-2</v>
      </c>
      <c r="AH58" s="147">
        <f t="shared" si="46"/>
        <v>5.2324388034451323E-2</v>
      </c>
    </row>
    <row r="60" spans="1:34">
      <c r="B60" s="40" t="s">
        <v>165</v>
      </c>
      <c r="C60" s="233" t="s">
        <v>16</v>
      </c>
      <c r="D60" s="167">
        <f>-IS!D11</f>
        <v>95.783999999999992</v>
      </c>
      <c r="E60" s="167">
        <f>-IS!E11</f>
        <v>142.16300000000001</v>
      </c>
      <c r="F60" s="167">
        <f>-IS!F11</f>
        <v>2.0000000000095497E-3</v>
      </c>
      <c r="G60" s="167">
        <f>-IS!G11</f>
        <v>7.0000000000050022E-3</v>
      </c>
      <c r="H60" s="167">
        <f>-IS!H11</f>
        <v>60.149999999999977</v>
      </c>
      <c r="I60" s="167">
        <f>-IS!I11</f>
        <v>41.697000000000003</v>
      </c>
      <c r="J60" s="167">
        <f>-IS!J11</f>
        <v>101.85599999999999</v>
      </c>
      <c r="K60" s="167">
        <f>-IS!K11</f>
        <v>45.355286199999966</v>
      </c>
      <c r="L60" s="167">
        <f>-IS!L11</f>
        <v>17.109713800000009</v>
      </c>
      <c r="M60" s="167">
        <f>-IS!M11</f>
        <v>75.688999999999965</v>
      </c>
      <c r="N60" s="167">
        <f>-IS!N11</f>
        <v>2.4250000000002387</v>
      </c>
      <c r="O60" s="167">
        <f>-IS!O11</f>
        <v>140.57900000000018</v>
      </c>
      <c r="P60" s="167">
        <f>-IS!P11</f>
        <v>54.180000000000007</v>
      </c>
      <c r="Q60" s="167">
        <f>-IS!Q11</f>
        <v>35.321000000000026</v>
      </c>
      <c r="R60" s="167">
        <f>-IS!R11</f>
        <v>96.574999999999932</v>
      </c>
      <c r="S60" s="167">
        <f>-IS!S11</f>
        <v>47.550000000000239</v>
      </c>
      <c r="T60" s="167">
        <f>-IS!T11</f>
        <v>233.6260000000002</v>
      </c>
      <c r="U60" s="167">
        <f>-IS!U11</f>
        <v>86.36099999999999</v>
      </c>
      <c r="V60" s="167">
        <f>V61*V16</f>
        <v>91.470295647149143</v>
      </c>
      <c r="W60" s="167">
        <f t="shared" ref="W60:X60" si="47">W61*W16</f>
        <v>96.711309480517926</v>
      </c>
      <c r="X60" s="167">
        <f t="shared" si="47"/>
        <v>102.08681240215724</v>
      </c>
      <c r="Y60" s="167">
        <f>SUM(U60:X60)</f>
        <v>376.62941752982431</v>
      </c>
      <c r="Z60" s="167">
        <f>Z61*Z16</f>
        <v>430.26144658607137</v>
      </c>
      <c r="AA60" s="167">
        <f t="shared" ref="AA60:AH60" si="48">AA61*AA16</f>
        <v>479.05815652830347</v>
      </c>
      <c r="AB60" s="167">
        <f t="shared" si="48"/>
        <v>511.90785869024421</v>
      </c>
      <c r="AC60" s="167">
        <f t="shared" si="48"/>
        <v>546.61904397469505</v>
      </c>
      <c r="AD60" s="167">
        <f t="shared" si="48"/>
        <v>583.28807150799753</v>
      </c>
      <c r="AE60" s="167">
        <f t="shared" si="48"/>
        <v>622.0160307736046</v>
      </c>
      <c r="AF60" s="167">
        <f t="shared" si="48"/>
        <v>662.90896586604765</v>
      </c>
      <c r="AG60" s="167">
        <f t="shared" si="48"/>
        <v>706.0781101166483</v>
      </c>
      <c r="AH60" s="167">
        <f t="shared" si="48"/>
        <v>751.64013156191118</v>
      </c>
    </row>
    <row r="61" spans="1:34">
      <c r="B61" s="39" t="s">
        <v>327</v>
      </c>
      <c r="C61" s="171" t="s">
        <v>16</v>
      </c>
      <c r="D61" s="170"/>
      <c r="E61" s="170"/>
      <c r="F61" s="170"/>
      <c r="G61" s="170"/>
      <c r="H61" s="170"/>
      <c r="I61" s="170"/>
      <c r="J61" s="170"/>
      <c r="K61" s="170" t="e">
        <f t="shared" ref="K61:U61" si="49">K60/K16</f>
        <v>#DIV/0!</v>
      </c>
      <c r="L61" s="170">
        <f t="shared" si="49"/>
        <v>0.24796686666666679</v>
      </c>
      <c r="M61" s="170">
        <f t="shared" si="49"/>
        <v>1.0368356164383556</v>
      </c>
      <c r="N61" s="170">
        <f t="shared" si="49"/>
        <v>2.664835164835427E-2</v>
      </c>
      <c r="O61" s="231">
        <f t="shared" si="49"/>
        <v>1.5448241758241779</v>
      </c>
      <c r="P61" s="231">
        <f t="shared" si="49"/>
        <v>0.59538461538461551</v>
      </c>
      <c r="Q61" s="231">
        <f t="shared" si="49"/>
        <v>0.27380620155038782</v>
      </c>
      <c r="R61" s="231">
        <f t="shared" si="49"/>
        <v>0.7372137404580148</v>
      </c>
      <c r="S61" s="231">
        <f t="shared" si="49"/>
        <v>0.36297709923664306</v>
      </c>
      <c r="T61" s="231">
        <f t="shared" si="49"/>
        <v>1.7834045801526732</v>
      </c>
      <c r="U61" s="231">
        <f t="shared" si="49"/>
        <v>0.6303722627737226</v>
      </c>
      <c r="V61" s="243">
        <f>U61*(1+V62)</f>
        <v>0.63965241711293108</v>
      </c>
      <c r="W61" s="243">
        <f t="shared" ref="W61:X61" si="50">V61*(1+W62)</f>
        <v>0.64906919114441564</v>
      </c>
      <c r="X61" s="243">
        <f t="shared" si="50"/>
        <v>0.65862459614294988</v>
      </c>
      <c r="Y61" s="244">
        <f>Y60/Y16</f>
        <v>2.4298672098698342</v>
      </c>
      <c r="Z61" s="244">
        <f>Y61*(1+Z62)</f>
        <v>2.5309496858004197</v>
      </c>
      <c r="AA61" s="244">
        <f t="shared" ref="AA61:AH61" si="51">Z61*(1+AA62)</f>
        <v>2.6321876732324365</v>
      </c>
      <c r="AB61" s="244">
        <f t="shared" si="51"/>
        <v>2.7374751801617339</v>
      </c>
      <c r="AC61" s="244">
        <f t="shared" si="51"/>
        <v>2.8469741873682035</v>
      </c>
      <c r="AD61" s="244">
        <f t="shared" si="51"/>
        <v>2.9608531548629315</v>
      </c>
      <c r="AE61" s="244">
        <f t="shared" si="51"/>
        <v>3.0792872810574488</v>
      </c>
      <c r="AF61" s="244">
        <f t="shared" si="51"/>
        <v>3.2024587722997468</v>
      </c>
      <c r="AG61" s="244">
        <f t="shared" si="51"/>
        <v>3.330557123191737</v>
      </c>
      <c r="AH61" s="244">
        <f t="shared" si="51"/>
        <v>3.4637794081194064</v>
      </c>
    </row>
    <row r="62" spans="1:34">
      <c r="B62" s="174" t="s">
        <v>216</v>
      </c>
      <c r="C62" s="5" t="s">
        <v>128</v>
      </c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21"/>
      <c r="U62" s="121"/>
      <c r="V62" s="179">
        <f>(1+$Y$62)^(3/12)-1</f>
        <v>1.4721704756447407E-2</v>
      </c>
      <c r="W62" s="179">
        <f t="shared" ref="W62:X62" si="52">(1+$Y$62)^(3/12)-1</f>
        <v>1.4721704756447407E-2</v>
      </c>
      <c r="X62" s="179">
        <f t="shared" si="52"/>
        <v>1.4721704756447407E-2</v>
      </c>
      <c r="Y62" s="237">
        <f>'Macro and Sector Data'!U4</f>
        <v>6.0199999999999997E-2</v>
      </c>
      <c r="Z62" s="237">
        <f>'Macro and Sector Data'!V4</f>
        <v>4.1599999999999998E-2</v>
      </c>
      <c r="AA62" s="237">
        <f>'Macro and Sector Data'!W4</f>
        <v>0.04</v>
      </c>
      <c r="AB62" s="237">
        <f>'Macro and Sector Data'!X4</f>
        <v>0.04</v>
      </c>
      <c r="AC62" s="237">
        <f>'Macro and Sector Data'!Y4</f>
        <v>0.04</v>
      </c>
      <c r="AD62" s="237">
        <f>'Macro and Sector Data'!Z4</f>
        <v>0.04</v>
      </c>
      <c r="AE62" s="237">
        <f>'Macro and Sector Data'!AA4</f>
        <v>0.04</v>
      </c>
      <c r="AF62" s="237">
        <f>'Macro and Sector Data'!AB4</f>
        <v>0.04</v>
      </c>
      <c r="AG62" s="237">
        <f>'Macro and Sector Data'!AC4</f>
        <v>0.04</v>
      </c>
      <c r="AH62" s="237">
        <f>'Macro and Sector Data'!AD4</f>
        <v>0.04</v>
      </c>
    </row>
    <row r="63" spans="1:34">
      <c r="B63" s="39" t="s">
        <v>217</v>
      </c>
      <c r="C63" s="5" t="s">
        <v>153</v>
      </c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75">
        <f>T16</f>
        <v>131</v>
      </c>
      <c r="U63" s="175">
        <f>U16</f>
        <v>137</v>
      </c>
      <c r="V63" s="175">
        <f t="shared" ref="V63:AH63" si="53">V16</f>
        <v>143</v>
      </c>
      <c r="W63" s="175">
        <f t="shared" si="53"/>
        <v>149</v>
      </c>
      <c r="X63" s="175">
        <f t="shared" si="53"/>
        <v>155</v>
      </c>
      <c r="Y63" s="175">
        <f t="shared" si="53"/>
        <v>155</v>
      </c>
      <c r="Z63" s="175">
        <f t="shared" si="53"/>
        <v>170</v>
      </c>
      <c r="AA63" s="175">
        <f t="shared" si="53"/>
        <v>182</v>
      </c>
      <c r="AB63" s="175">
        <f t="shared" si="53"/>
        <v>187</v>
      </c>
      <c r="AC63" s="175">
        <f t="shared" si="53"/>
        <v>192</v>
      </c>
      <c r="AD63" s="175">
        <f t="shared" si="53"/>
        <v>197</v>
      </c>
      <c r="AE63" s="175">
        <f t="shared" si="53"/>
        <v>202</v>
      </c>
      <c r="AF63" s="175">
        <f t="shared" si="53"/>
        <v>207</v>
      </c>
      <c r="AG63" s="175">
        <f t="shared" si="53"/>
        <v>212</v>
      </c>
      <c r="AH63" s="175">
        <f t="shared" si="53"/>
        <v>217</v>
      </c>
    </row>
    <row r="64" spans="1:34">
      <c r="W64" s="17"/>
    </row>
    <row r="65" spans="1:35">
      <c r="A65" s="7"/>
      <c r="B65" s="30" t="s">
        <v>218</v>
      </c>
      <c r="C65" s="7"/>
      <c r="D65" s="6">
        <v>2018</v>
      </c>
      <c r="E65" s="6">
        <v>2019</v>
      </c>
      <c r="F65" s="8" t="s">
        <v>0</v>
      </c>
      <c r="G65" s="8" t="s">
        <v>1</v>
      </c>
      <c r="H65" s="8" t="s">
        <v>2</v>
      </c>
      <c r="I65" s="8" t="s">
        <v>3</v>
      </c>
      <c r="J65" s="6">
        <v>2020</v>
      </c>
      <c r="K65" s="8" t="s">
        <v>4</v>
      </c>
      <c r="L65" s="8" t="s">
        <v>5</v>
      </c>
      <c r="M65" s="8" t="s">
        <v>6</v>
      </c>
      <c r="N65" s="8" t="s">
        <v>7</v>
      </c>
      <c r="O65" s="6">
        <v>2021</v>
      </c>
      <c r="P65" s="8" t="s">
        <v>8</v>
      </c>
      <c r="Q65" s="8" t="s">
        <v>9</v>
      </c>
      <c r="R65" s="8" t="s">
        <v>10</v>
      </c>
      <c r="S65" s="8" t="s">
        <v>11</v>
      </c>
      <c r="T65" s="6">
        <v>2022</v>
      </c>
      <c r="U65" s="64" t="s">
        <v>100</v>
      </c>
      <c r="V65" s="63" t="s">
        <v>101</v>
      </c>
      <c r="W65" s="63" t="s">
        <v>102</v>
      </c>
      <c r="X65" s="63" t="s">
        <v>103</v>
      </c>
      <c r="Y65" s="37">
        <v>2023</v>
      </c>
      <c r="Z65" s="37">
        <v>2024</v>
      </c>
      <c r="AA65" s="37">
        <v>2025</v>
      </c>
      <c r="AB65" s="37">
        <v>2026</v>
      </c>
      <c r="AC65" s="37">
        <v>2027</v>
      </c>
      <c r="AD65" s="37">
        <v>2028</v>
      </c>
      <c r="AE65" s="37">
        <v>2029</v>
      </c>
      <c r="AF65" s="37">
        <v>2030</v>
      </c>
      <c r="AG65" s="37">
        <v>2031</v>
      </c>
      <c r="AH65" s="37">
        <v>2032</v>
      </c>
    </row>
    <row r="66" spans="1:35">
      <c r="B66" s="107" t="s">
        <v>219</v>
      </c>
      <c r="C66" s="1" t="s">
        <v>16</v>
      </c>
      <c r="D66" s="16">
        <f>-IS!D13</f>
        <v>244.59399999999999</v>
      </c>
      <c r="E66" s="16">
        <f>-IS!E13</f>
        <v>402.87799999999999</v>
      </c>
      <c r="F66" s="16">
        <f>-IS!F13</f>
        <v>121.60239987999998</v>
      </c>
      <c r="G66" s="16">
        <f>-IS!G13</f>
        <v>126.34194619174376</v>
      </c>
      <c r="H66" s="16">
        <f>-IS!H13</f>
        <v>113.11135479771127</v>
      </c>
      <c r="I66" s="16">
        <f>-IS!I13</f>
        <v>255.00530864392874</v>
      </c>
      <c r="J66" s="16">
        <f>-IS!J13</f>
        <v>616.06100951338374</v>
      </c>
      <c r="K66" s="16">
        <f>-IS!K13</f>
        <v>139.37629916999998</v>
      </c>
      <c r="L66" s="16">
        <f>-IS!L13</f>
        <v>337.16517177000003</v>
      </c>
      <c r="M66" s="16">
        <f>-IS!M13</f>
        <v>22.538418852133049</v>
      </c>
      <c r="N66" s="16">
        <f>-IS!N13</f>
        <v>192.46166814170931</v>
      </c>
      <c r="O66" s="16">
        <f>-IS!O13</f>
        <v>691.54155793384223</v>
      </c>
      <c r="P66" s="16">
        <f>-IS!P13</f>
        <v>198.75957981053384</v>
      </c>
      <c r="Q66" s="16">
        <f>-IS!Q13</f>
        <v>245.30633609147796</v>
      </c>
      <c r="R66" s="16">
        <f>-IS!R13</f>
        <v>276.29139493798812</v>
      </c>
      <c r="S66" s="16">
        <f>-IS!S13</f>
        <v>261.2</v>
      </c>
      <c r="T66" s="16">
        <f>-IS!T13</f>
        <v>981.5573108399999</v>
      </c>
      <c r="U66" s="16">
        <f>-IS!U13</f>
        <v>261.85000000000002</v>
      </c>
      <c r="V66" s="16">
        <f>V70+V85+V87</f>
        <v>205.47712010221707</v>
      </c>
      <c r="W66" s="16">
        <f t="shared" ref="W66:AH66" si="54">W70+W85+W87</f>
        <v>217.64296045832526</v>
      </c>
      <c r="X66" s="16">
        <f t="shared" si="54"/>
        <v>230.15552380572524</v>
      </c>
      <c r="Y66" s="16">
        <f t="shared" si="54"/>
        <v>915.12560436626757</v>
      </c>
      <c r="Z66" s="16">
        <f t="shared" si="54"/>
        <v>974.67251557686541</v>
      </c>
      <c r="AA66" s="16">
        <f t="shared" si="54"/>
        <v>1093.2555731792472</v>
      </c>
      <c r="AB66" s="16">
        <f t="shared" si="54"/>
        <v>1176.8996142101967</v>
      </c>
      <c r="AC66" s="16">
        <f t="shared" si="54"/>
        <v>1266.0576930144466</v>
      </c>
      <c r="AD66" s="16">
        <f t="shared" si="54"/>
        <v>1361.0681246399481</v>
      </c>
      <c r="AE66" s="16">
        <f t="shared" si="54"/>
        <v>1462.2891398187044</v>
      </c>
      <c r="AF66" s="16">
        <f t="shared" si="54"/>
        <v>1570.1000266552544</v>
      </c>
      <c r="AG66" s="16">
        <f t="shared" si="54"/>
        <v>1684.902336576574</v>
      </c>
      <c r="AH66" s="16">
        <f t="shared" si="54"/>
        <v>1807.1211581123998</v>
      </c>
    </row>
    <row r="67" spans="1:35">
      <c r="B67" s="176" t="s">
        <v>146</v>
      </c>
      <c r="C67" s="100" t="s">
        <v>128</v>
      </c>
      <c r="D67" s="17"/>
      <c r="E67" s="100">
        <f>(E66-D66)/D66</f>
        <v>0.64712952893366149</v>
      </c>
      <c r="F67" s="17"/>
      <c r="G67" s="17"/>
      <c r="H67" s="17"/>
      <c r="I67" s="17"/>
      <c r="J67" s="100">
        <f>(J66-E66)/E66</f>
        <v>0.5291502874651477</v>
      </c>
      <c r="K67" s="100">
        <f t="shared" ref="K67:T67" si="55">(K66-F66)/F66</f>
        <v>0.14616405027811696</v>
      </c>
      <c r="L67" s="100">
        <f t="shared" si="55"/>
        <v>1.6686716639483998</v>
      </c>
      <c r="M67" s="100">
        <f t="shared" si="55"/>
        <v>-0.80074132351751215</v>
      </c>
      <c r="N67" s="100">
        <f t="shared" si="55"/>
        <v>-0.24526407248074555</v>
      </c>
      <c r="O67" s="100">
        <f t="shared" si="55"/>
        <v>0.12252122314976452</v>
      </c>
      <c r="P67" s="100">
        <f t="shared" si="55"/>
        <v>0.42606440976096599</v>
      </c>
      <c r="Q67" s="100">
        <f t="shared" si="55"/>
        <v>-0.27244461578369761</v>
      </c>
      <c r="R67" s="100">
        <f t="shared" si="55"/>
        <v>11.258685791165858</v>
      </c>
      <c r="S67" s="100">
        <f t="shared" si="55"/>
        <v>0.35715336213171922</v>
      </c>
      <c r="T67" s="100">
        <f t="shared" si="55"/>
        <v>0.41937574044379072</v>
      </c>
      <c r="U67" s="100">
        <f t="shared" ref="U67" si="56">(U66-P66)/P66</f>
        <v>0.31742077664687501</v>
      </c>
      <c r="V67" s="100">
        <f t="shared" ref="V67:X67" si="57">(V66-Q66)/V66</f>
        <v>-0.19383771764684732</v>
      </c>
      <c r="W67" s="100">
        <f t="shared" si="57"/>
        <v>-0.2694708542658929</v>
      </c>
      <c r="X67" s="100">
        <f t="shared" si="57"/>
        <v>-0.13488477565491522</v>
      </c>
      <c r="Y67" s="100">
        <f>(Y66-T66)/Y66</f>
        <v>-7.2592992870893241E-2</v>
      </c>
      <c r="Z67" s="100">
        <f>(Z66-Y66)/Z66</f>
        <v>6.1094275522229811E-2</v>
      </c>
      <c r="AA67" s="100">
        <f t="shared" ref="AA67:AH67" si="58">(AA66-Z66)/AA66</f>
        <v>0.10846782811958211</v>
      </c>
      <c r="AB67" s="100">
        <f t="shared" si="58"/>
        <v>7.1071517078440005E-2</v>
      </c>
      <c r="AC67" s="100">
        <f t="shared" si="58"/>
        <v>7.0421813552561857E-2</v>
      </c>
      <c r="AD67" s="100">
        <f t="shared" si="58"/>
        <v>6.9805787017924031E-2</v>
      </c>
      <c r="AE67" s="100">
        <f t="shared" si="58"/>
        <v>6.9220930678118631E-2</v>
      </c>
      <c r="AF67" s="100">
        <f t="shared" si="58"/>
        <v>6.8664979941575388E-2</v>
      </c>
      <c r="AG67" s="100">
        <f t="shared" si="58"/>
        <v>6.8135883860531529E-2</v>
      </c>
      <c r="AH67" s="100">
        <f t="shared" si="58"/>
        <v>6.7631780518516829E-2</v>
      </c>
    </row>
    <row r="68" spans="1:35" s="101" customFormat="1">
      <c r="B68" s="176" t="s">
        <v>220</v>
      </c>
      <c r="C68" s="100" t="s">
        <v>128</v>
      </c>
      <c r="D68" s="100">
        <f>D66/IS!D8</f>
        <v>0.23276134430110881</v>
      </c>
      <c r="E68" s="100">
        <f>E66/IS!E8</f>
        <v>0.23845848796396588</v>
      </c>
      <c r="F68" s="100">
        <f>F66/IS!F8</f>
        <v>0.26822540167946368</v>
      </c>
      <c r="G68" s="100">
        <f>G66/IS!G8</f>
        <v>0.26176450299229009</v>
      </c>
      <c r="H68" s="100">
        <f>H66/IS!H8</f>
        <v>0.2155084895299515</v>
      </c>
      <c r="I68" s="100">
        <f>I66/IS!I8</f>
        <v>0.44405611029388803</v>
      </c>
      <c r="J68" s="100">
        <f>J66/IS!J8</f>
        <v>0.30271249576357218</v>
      </c>
      <c r="K68" s="100">
        <f>K66/IS!K8</f>
        <v>0.22679333753693745</v>
      </c>
      <c r="L68" s="100">
        <f>L66/IS!L8</f>
        <v>0.52664366153557796</v>
      </c>
      <c r="M68" s="100">
        <f>M66/IS!M8</f>
        <v>3.3173028247818794E-2</v>
      </c>
      <c r="N68" s="100">
        <f>N66/IS!N8</f>
        <v>0.25064061934459642</v>
      </c>
      <c r="O68" s="100">
        <f>O66/IS!O8</f>
        <v>0.2559306685824263</v>
      </c>
      <c r="P68" s="100">
        <f>P66/IS!P8</f>
        <v>0.24600419308391319</v>
      </c>
      <c r="Q68" s="100">
        <f>Q66/IS!Q8</f>
        <v>0.27259288375539276</v>
      </c>
      <c r="R68" s="100">
        <f>R66/IS!R8</f>
        <v>0.23738984608100211</v>
      </c>
      <c r="S68" s="100">
        <f>S66/IS!S8</f>
        <v>0.21470940249628451</v>
      </c>
      <c r="T68" s="100">
        <f>T66/IS!T8</f>
        <v>0.24009217407341812</v>
      </c>
      <c r="U68" s="100">
        <f>U66/IS!U8</f>
        <v>0.20243525318902206</v>
      </c>
      <c r="V68" s="100">
        <f>V66/IS!V8</f>
        <v>0.15528675877090747</v>
      </c>
      <c r="W68" s="100">
        <f>W66/IS!W8</f>
        <v>0.15235452883944331</v>
      </c>
      <c r="X68" s="100">
        <f>X66/IS!X8</f>
        <v>0.15336935570392973</v>
      </c>
      <c r="Y68" s="100">
        <f>Y66/IS!Y8</f>
        <v>0.16500932955589656</v>
      </c>
      <c r="Z68" s="100">
        <f>Z66/IS!Z8</f>
        <v>0.15079819744038545</v>
      </c>
      <c r="AA68" s="100">
        <f>AA66/IS!AA8</f>
        <v>0.14667281266069024</v>
      </c>
      <c r="AB68" s="100">
        <f>AB66/IS!AB8</f>
        <v>0.14353805585112431</v>
      </c>
      <c r="AC68" s="100">
        <f>AC66/IS!AC8</f>
        <v>0.14046969841328247</v>
      </c>
      <c r="AD68" s="100">
        <f>AD66/IS!AD8</f>
        <v>0.13746653370278059</v>
      </c>
      <c r="AE68" s="100">
        <f>AE66/IS!AE8</f>
        <v>0.1345273488336266</v>
      </c>
      <c r="AF68" s="100">
        <f>AF66/IS!AF8</f>
        <v>0.13165092924560048</v>
      </c>
      <c r="AG68" s="100">
        <f>AG66/IS!AG8</f>
        <v>0.12883606251775398</v>
      </c>
      <c r="AH68" s="100">
        <f>AH66/IS!AH8</f>
        <v>0.12608154155166892</v>
      </c>
    </row>
    <row r="69" spans="1:35" ht="15" customHeight="1">
      <c r="X69" s="17"/>
    </row>
    <row r="70" spans="1:35">
      <c r="B70" s="238" t="s">
        <v>221</v>
      </c>
      <c r="C70" s="239" t="s">
        <v>16</v>
      </c>
      <c r="D70" s="26">
        <f>-IS!D14</f>
        <v>226.666</v>
      </c>
      <c r="E70" s="26">
        <f>-IS!E14</f>
        <v>338.774</v>
      </c>
      <c r="F70" s="26">
        <f>-IS!F14</f>
        <v>98.390399879999975</v>
      </c>
      <c r="G70" s="26">
        <f>-IS!G14</f>
        <v>102.57494619174376</v>
      </c>
      <c r="H70" s="26">
        <f>-IS!H14</f>
        <v>93.436354797711275</v>
      </c>
      <c r="I70" s="26">
        <f>-IS!I14</f>
        <v>99.952308643928745</v>
      </c>
      <c r="J70" s="26">
        <f>-IS!J14</f>
        <v>394.35400951338374</v>
      </c>
      <c r="K70" s="26">
        <f>-IS!K14</f>
        <v>103.08829916999998</v>
      </c>
      <c r="L70" s="26">
        <f>-IS!L14</f>
        <v>105.71717177000001</v>
      </c>
      <c r="M70" s="26">
        <f>-IS!M14</f>
        <v>132.11841885213306</v>
      </c>
      <c r="N70" s="26">
        <f>-IS!N14</f>
        <v>154.4836681417093</v>
      </c>
      <c r="O70" s="26">
        <f>-IS!O14</f>
        <v>495.40755793384233</v>
      </c>
      <c r="P70" s="26">
        <f>-IS!P14</f>
        <v>158.49357981053384</v>
      </c>
      <c r="Q70" s="26">
        <f>-IS!Q14</f>
        <v>192.34833609147796</v>
      </c>
      <c r="R70" s="26">
        <f>-IS!R14</f>
        <v>214.65148257798811</v>
      </c>
      <c r="S70" s="26">
        <f>-IS!S14</f>
        <v>213.6</v>
      </c>
      <c r="T70" s="26">
        <f>-IS!T14</f>
        <v>779.09339847999991</v>
      </c>
      <c r="U70" s="26">
        <f>-IS!U14</f>
        <v>193.65000000000003</v>
      </c>
      <c r="V70" s="26">
        <f>SUM(V73,V77,V81)</f>
        <v>205.47712010221707</v>
      </c>
      <c r="W70" s="26">
        <f t="shared" ref="W70:AH70" si="59">SUM(W73,W77,W81)</f>
        <v>217.64296045832526</v>
      </c>
      <c r="X70" s="26">
        <f t="shared" si="59"/>
        <v>230.15552380572524</v>
      </c>
      <c r="Y70" s="26">
        <f t="shared" si="59"/>
        <v>846.92560436626763</v>
      </c>
      <c r="Z70" s="26">
        <f t="shared" si="59"/>
        <v>974.67251557686541</v>
      </c>
      <c r="AA70" s="26">
        <f t="shared" si="59"/>
        <v>1093.2555731792472</v>
      </c>
      <c r="AB70" s="26">
        <f t="shared" si="59"/>
        <v>1176.8996142101967</v>
      </c>
      <c r="AC70" s="26">
        <f t="shared" si="59"/>
        <v>1266.0576930144466</v>
      </c>
      <c r="AD70" s="26">
        <f t="shared" si="59"/>
        <v>1361.0681246399481</v>
      </c>
      <c r="AE70" s="26">
        <f t="shared" si="59"/>
        <v>1462.2891398187044</v>
      </c>
      <c r="AF70" s="26">
        <f t="shared" si="59"/>
        <v>1570.1000266552544</v>
      </c>
      <c r="AG70" s="26">
        <f t="shared" si="59"/>
        <v>1684.902336576574</v>
      </c>
      <c r="AH70" s="26">
        <f t="shared" si="59"/>
        <v>1807.1211581123998</v>
      </c>
    </row>
    <row r="71" spans="1:35" s="101" customFormat="1" outlineLevel="5">
      <c r="B71" s="102" t="s">
        <v>146</v>
      </c>
      <c r="C71" s="100" t="s">
        <v>128</v>
      </c>
      <c r="D71" s="100"/>
      <c r="E71" s="100">
        <f>(E70-D70)/D70</f>
        <v>0.49459557233991869</v>
      </c>
      <c r="F71" s="100"/>
      <c r="G71" s="100"/>
      <c r="H71" s="100"/>
      <c r="I71" s="100"/>
      <c r="J71" s="100">
        <f>(J70-E70)/E70</f>
        <v>0.16406220522644518</v>
      </c>
      <c r="K71" s="100">
        <f t="shared" ref="K71:U71" si="60">(K70-F70)/F70</f>
        <v>4.7747537317967152E-2</v>
      </c>
      <c r="L71" s="100">
        <f t="shared" si="60"/>
        <v>3.063346065405162E-2</v>
      </c>
      <c r="M71" s="100">
        <f t="shared" si="60"/>
        <v>0.41399371944858132</v>
      </c>
      <c r="N71" s="100">
        <f t="shared" si="60"/>
        <v>0.5455737865149638</v>
      </c>
      <c r="O71" s="100">
        <f t="shared" si="60"/>
        <v>0.25625084564286393</v>
      </c>
      <c r="P71" s="100">
        <f t="shared" si="60"/>
        <v>0.53745460044079862</v>
      </c>
      <c r="Q71" s="100">
        <f t="shared" si="60"/>
        <v>0.81946161509082105</v>
      </c>
      <c r="R71" s="100">
        <f t="shared" si="60"/>
        <v>0.62469006549515294</v>
      </c>
      <c r="S71" s="100">
        <f t="shared" si="60"/>
        <v>0.38267043092259262</v>
      </c>
      <c r="T71" s="100">
        <f t="shared" si="60"/>
        <v>0.5726312326144235</v>
      </c>
      <c r="U71" s="100">
        <f t="shared" si="60"/>
        <v>0.2218160523063005</v>
      </c>
      <c r="V71" s="100"/>
      <c r="W71" s="100"/>
      <c r="X71" s="100"/>
      <c r="Y71" s="100">
        <f>(Y70-T70)/Y70</f>
        <v>8.0092283828193861E-2</v>
      </c>
      <c r="Z71" s="100">
        <f>(Z70-Y70)/Z70</f>
        <v>0.13106649584244207</v>
      </c>
      <c r="AA71" s="100">
        <f t="shared" ref="AA71:AH71" si="61">(AA70-Z70)/AA70</f>
        <v>0.10846782811958211</v>
      </c>
      <c r="AB71" s="100">
        <f t="shared" si="61"/>
        <v>7.1071517078440005E-2</v>
      </c>
      <c r="AC71" s="100">
        <f t="shared" si="61"/>
        <v>7.0421813552561857E-2</v>
      </c>
      <c r="AD71" s="100">
        <f t="shared" si="61"/>
        <v>6.9805787017924031E-2</v>
      </c>
      <c r="AE71" s="100">
        <f t="shared" si="61"/>
        <v>6.9220930678118631E-2</v>
      </c>
      <c r="AF71" s="100">
        <f t="shared" si="61"/>
        <v>6.8664979941575388E-2</v>
      </c>
      <c r="AG71" s="100">
        <f t="shared" si="61"/>
        <v>6.8135883860531529E-2</v>
      </c>
      <c r="AH71" s="100">
        <f t="shared" si="61"/>
        <v>6.7631780518516829E-2</v>
      </c>
    </row>
    <row r="72" spans="1:35" s="101" customFormat="1" ht="3.75" customHeight="1" outlineLevel="5">
      <c r="B72" s="102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</row>
    <row r="73" spans="1:35" outlineLevel="5">
      <c r="B73" s="247" t="s">
        <v>222</v>
      </c>
      <c r="C73" s="1" t="s">
        <v>16</v>
      </c>
      <c r="D73" s="11"/>
      <c r="E73" s="11"/>
      <c r="F73" s="16">
        <f>-[3]IS!F17</f>
        <v>71.8</v>
      </c>
      <c r="G73" s="16">
        <f>-[3]IS!G17</f>
        <v>76.003146131743762</v>
      </c>
      <c r="H73" s="16">
        <f>-[3]IS!H17</f>
        <v>78.727383429407524</v>
      </c>
      <c r="I73" s="16">
        <f>-[3]IS!I17</f>
        <v>74.299899888647658</v>
      </c>
      <c r="J73" s="16">
        <f>-IS!J15</f>
        <v>300.83042944979894</v>
      </c>
      <c r="K73" s="16">
        <f>-IS!K15</f>
        <v>75.980299169999981</v>
      </c>
      <c r="L73" s="16">
        <f>-IS!L15</f>
        <v>83.456171770000012</v>
      </c>
      <c r="M73" s="16">
        <f>-IS!M15</f>
        <v>96.523870206533672</v>
      </c>
      <c r="N73" s="16">
        <f>-IS!N15</f>
        <v>111.3900637061973</v>
      </c>
      <c r="O73" s="16">
        <f>-IS!O15</f>
        <v>367.35040485273095</v>
      </c>
      <c r="P73" s="16">
        <f>-IS!P15</f>
        <v>122.07731225615645</v>
      </c>
      <c r="Q73" s="16">
        <f>-IS!Q15</f>
        <v>146.45331609809261</v>
      </c>
      <c r="R73" s="16">
        <f>-IS!R15</f>
        <v>158.41790906218688</v>
      </c>
      <c r="S73" s="16">
        <f>-IS!S15</f>
        <v>163.6</v>
      </c>
      <c r="T73" s="16">
        <f>-IS!T15</f>
        <v>590.54853741643592</v>
      </c>
      <c r="U73" s="16">
        <f>-IS!U15</f>
        <v>148.82269347033198</v>
      </c>
      <c r="V73" s="16">
        <f>V74*V$16</f>
        <v>157.99773726350381</v>
      </c>
      <c r="W73" s="16">
        <f t="shared" ref="W73" si="62">W74*W$16</f>
        <v>167.44313050071975</v>
      </c>
      <c r="X73" s="16">
        <f t="shared" ref="X73" si="63">X74*X$16</f>
        <v>177.16543763038891</v>
      </c>
      <c r="Y73" s="16">
        <f>SUM(U73:X73)</f>
        <v>651.42899886494445</v>
      </c>
      <c r="Z73" s="16">
        <f>Z74*Z$16</f>
        <v>751.33719345215388</v>
      </c>
      <c r="AA73" s="16">
        <f t="shared" ref="AA73:AH73" si="64">AA74*AA$16</f>
        <v>844.59139805121538</v>
      </c>
      <c r="AB73" s="16">
        <f t="shared" si="64"/>
        <v>911.18418135909963</v>
      </c>
      <c r="AC73" s="16">
        <f t="shared" si="64"/>
        <v>982.32476450264426</v>
      </c>
      <c r="AD73" s="16">
        <f t="shared" si="64"/>
        <v>1058.3014455071459</v>
      </c>
      <c r="AE73" s="16">
        <f t="shared" si="64"/>
        <v>1139.4199827008408</v>
      </c>
      <c r="AF73" s="16">
        <f t="shared" si="64"/>
        <v>1226.0046200001373</v>
      </c>
      <c r="AG73" s="16">
        <f t="shared" si="64"/>
        <v>1318.3991710726116</v>
      </c>
      <c r="AH73" s="16">
        <f t="shared" si="64"/>
        <v>1416.9681657023327</v>
      </c>
      <c r="AI73" s="13"/>
    </row>
    <row r="74" spans="1:35" outlineLevel="5">
      <c r="B74" s="87" t="s">
        <v>223</v>
      </c>
      <c r="C74" s="5" t="s">
        <v>16</v>
      </c>
      <c r="K74" s="177"/>
      <c r="L74" s="178">
        <f t="shared" ref="L74:U74" si="65">L73/L16</f>
        <v>1.2095097357971016</v>
      </c>
      <c r="M74" s="178">
        <f t="shared" si="65"/>
        <v>1.3222447973497764</v>
      </c>
      <c r="N74" s="178">
        <f t="shared" si="65"/>
        <v>1.2240666341340363</v>
      </c>
      <c r="O74" s="178">
        <f t="shared" si="65"/>
        <v>4.0368176357442964</v>
      </c>
      <c r="P74" s="178">
        <f t="shared" si="65"/>
        <v>1.3415089258918291</v>
      </c>
      <c r="Q74" s="178">
        <f t="shared" si="65"/>
        <v>1.1352970240162219</v>
      </c>
      <c r="R74" s="178">
        <f t="shared" si="65"/>
        <v>1.2092970157418845</v>
      </c>
      <c r="S74" s="178">
        <f t="shared" si="65"/>
        <v>1.248854961832061</v>
      </c>
      <c r="T74" s="178">
        <f t="shared" si="65"/>
        <v>4.5080041024155415</v>
      </c>
      <c r="U74" s="178">
        <f t="shared" si="65"/>
        <v>1.0862970326301604</v>
      </c>
      <c r="V74" s="178">
        <f>U74*(1+V75)</f>
        <v>1.1048792815629638</v>
      </c>
      <c r="W74" s="178">
        <f t="shared" ref="W74" si="66">V74*(1+W75)</f>
        <v>1.1237793993336895</v>
      </c>
      <c r="X74" s="178">
        <f t="shared" ref="X74" si="67">W74*(1+X75)</f>
        <v>1.1430028234218639</v>
      </c>
      <c r="Y74" s="178">
        <f>Y73/Y$16</f>
        <v>4.2027677346125447</v>
      </c>
      <c r="Z74" s="178">
        <f>Y74*(1+Z75)</f>
        <v>4.4196305497185522</v>
      </c>
      <c r="AA74" s="178">
        <f t="shared" ref="AA74:AH74" si="68">Z74*(1+AA75)</f>
        <v>4.6406120772044801</v>
      </c>
      <c r="AB74" s="178">
        <f t="shared" si="68"/>
        <v>4.8726426810647041</v>
      </c>
      <c r="AC74" s="178">
        <f t="shared" si="68"/>
        <v>5.1162748151179391</v>
      </c>
      <c r="AD74" s="178">
        <f t="shared" si="68"/>
        <v>5.3720885558738365</v>
      </c>
      <c r="AE74" s="178">
        <f t="shared" si="68"/>
        <v>5.6406929836675284</v>
      </c>
      <c r="AF74" s="178">
        <f t="shared" si="68"/>
        <v>5.9227276328509051</v>
      </c>
      <c r="AG74" s="178">
        <f t="shared" si="68"/>
        <v>6.2188640144934508</v>
      </c>
      <c r="AH74" s="178">
        <f t="shared" si="68"/>
        <v>6.5298072152181232</v>
      </c>
    </row>
    <row r="75" spans="1:35" outlineLevel="5">
      <c r="B75" s="165" t="s">
        <v>328</v>
      </c>
      <c r="C75" s="5" t="s">
        <v>128</v>
      </c>
      <c r="K75" s="177"/>
      <c r="L75" s="178"/>
      <c r="M75" s="178"/>
      <c r="N75" s="178"/>
      <c r="O75" s="178"/>
      <c r="P75" s="178"/>
      <c r="Q75" s="112">
        <f>(Q74-L74)/L74</f>
        <v>-6.1357680376149623E-2</v>
      </c>
      <c r="R75" s="112">
        <f t="shared" ref="R75:T75" si="69">(R74-M74)/M74</f>
        <v>-8.5421233522171722E-2</v>
      </c>
      <c r="S75" s="112">
        <f t="shared" si="69"/>
        <v>2.0250799267607849E-2</v>
      </c>
      <c r="T75" s="112">
        <f t="shared" si="69"/>
        <v>0.11672225727986574</v>
      </c>
      <c r="U75" s="112"/>
      <c r="V75" s="179">
        <f>(1+$Y$75)^(3/12)-1</f>
        <v>1.7106047770204968E-2</v>
      </c>
      <c r="W75" s="179">
        <f t="shared" ref="W75:X75" si="70">(1+$Y$75)^(3/12)-1</f>
        <v>1.7106047770204968E-2</v>
      </c>
      <c r="X75" s="179">
        <f t="shared" si="70"/>
        <v>1.7106047770204968E-2</v>
      </c>
      <c r="Y75" s="179">
        <f>'Macro and Sector Data'!U4+1%</f>
        <v>7.0199999999999999E-2</v>
      </c>
      <c r="Z75" s="179">
        <f>'Macro and Sector Data'!V4+1%</f>
        <v>5.16E-2</v>
      </c>
      <c r="AA75" s="179">
        <f>'Macro and Sector Data'!W4+1%</f>
        <v>0.05</v>
      </c>
      <c r="AB75" s="179">
        <f>'Macro and Sector Data'!X4+1%</f>
        <v>0.05</v>
      </c>
      <c r="AC75" s="179">
        <f>'Macro and Sector Data'!Y4+1%</f>
        <v>0.05</v>
      </c>
      <c r="AD75" s="179">
        <f>'Macro and Sector Data'!Z4+1%</f>
        <v>0.05</v>
      </c>
      <c r="AE75" s="179">
        <f>'Macro and Sector Data'!AA4+1%</f>
        <v>0.05</v>
      </c>
      <c r="AF75" s="179">
        <f>'Macro and Sector Data'!AB4+1%</f>
        <v>0.05</v>
      </c>
      <c r="AG75" s="179">
        <f>'Macro and Sector Data'!AC4+1%</f>
        <v>0.05</v>
      </c>
      <c r="AH75" s="179">
        <f>'Macro and Sector Data'!AD4+1%</f>
        <v>0.05</v>
      </c>
    </row>
    <row r="76" spans="1:35" ht="14.25" customHeight="1" outlineLevel="5">
      <c r="B76" s="83"/>
      <c r="C76" s="5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77"/>
      <c r="W76" s="177"/>
      <c r="X76" s="177"/>
    </row>
    <row r="77" spans="1:35" outlineLevel="5">
      <c r="B77" s="247" t="s">
        <v>224</v>
      </c>
      <c r="C77" s="1" t="s">
        <v>16</v>
      </c>
      <c r="D77" s="11"/>
      <c r="E77" s="11"/>
      <c r="F77" s="16">
        <f>-[3]IS!F18</f>
        <v>11.6</v>
      </c>
      <c r="G77" s="16">
        <f>-[3]IS!G18</f>
        <v>9.7249999999999996</v>
      </c>
      <c r="H77" s="16">
        <f>-[3]IS!H18</f>
        <v>11.550938970948806</v>
      </c>
      <c r="I77" s="16">
        <f>-[3]IS!I18</f>
        <v>10.780101214568935</v>
      </c>
      <c r="J77" s="16">
        <f>-IS!J16</f>
        <v>43.656040185517746</v>
      </c>
      <c r="K77" s="16">
        <f>-IS!K16</f>
        <v>15.987000000000002</v>
      </c>
      <c r="L77" s="16">
        <f>-IS!L16</f>
        <v>12.782</v>
      </c>
      <c r="M77" s="16">
        <f>-IS!M16</f>
        <v>23.374500832069963</v>
      </c>
      <c r="N77" s="16">
        <f>-IS!N16</f>
        <v>32.667416558161115</v>
      </c>
      <c r="O77" s="16">
        <f>-IS!O16</f>
        <v>84.810917390231083</v>
      </c>
      <c r="P77" s="16">
        <f>-IS!P16</f>
        <v>21.274509450861302</v>
      </c>
      <c r="Q77" s="16">
        <f>-IS!Q16</f>
        <v>24.713788220436882</v>
      </c>
      <c r="R77" s="16">
        <f>-IS!R16</f>
        <v>41.937690470333834</v>
      </c>
      <c r="S77" s="16">
        <f>-IS!S16</f>
        <v>29.8</v>
      </c>
      <c r="T77" s="16">
        <f>-IS!T16</f>
        <v>117.72598814163202</v>
      </c>
      <c r="U77" s="16">
        <f>-IS!U16</f>
        <v>35.382426771422303</v>
      </c>
      <c r="V77" s="16">
        <f>V78*V$16</f>
        <v>37.475724429957999</v>
      </c>
      <c r="W77" s="16">
        <f t="shared" ref="W77" si="71">W78*W$16</f>
        <v>39.622987525188279</v>
      </c>
      <c r="X77" s="16">
        <f t="shared" ref="X77" si="72">X78*X$16</f>
        <v>41.825351306113348</v>
      </c>
      <c r="Y77" s="16">
        <f>SUM(U77:X77)</f>
        <v>154.30649003268195</v>
      </c>
      <c r="Z77" s="16">
        <f>Z78*Z$16</f>
        <v>176.27973421333584</v>
      </c>
      <c r="AA77" s="16">
        <f t="shared" ref="AA77:AH77" si="73">AA78*AA$16</f>
        <v>196.27192995235418</v>
      </c>
      <c r="AB77" s="16">
        <f t="shared" si="73"/>
        <v>209.73057657765847</v>
      </c>
      <c r="AC77" s="16">
        <f t="shared" si="73"/>
        <v>223.95187984506333</v>
      </c>
      <c r="AD77" s="16">
        <f t="shared" si="73"/>
        <v>238.97531845133636</v>
      </c>
      <c r="AE77" s="16">
        <f t="shared" si="73"/>
        <v>254.8423091383591</v>
      </c>
      <c r="AF77" s="16">
        <f t="shared" si="73"/>
        <v>271.59629857082149</v>
      </c>
      <c r="AG77" s="16">
        <f t="shared" si="73"/>
        <v>289.28285946325957</v>
      </c>
      <c r="AH77" s="16">
        <f t="shared" si="73"/>
        <v>307.94979114937934</v>
      </c>
    </row>
    <row r="78" spans="1:35" outlineLevel="5">
      <c r="B78" s="87" t="s">
        <v>225</v>
      </c>
      <c r="C78" s="5" t="s">
        <v>16</v>
      </c>
      <c r="L78" s="81">
        <f t="shared" ref="L78:U78" si="74">L77/L16</f>
        <v>0.1852463768115942</v>
      </c>
      <c r="M78" s="81">
        <f t="shared" si="74"/>
        <v>0.32019864153520494</v>
      </c>
      <c r="N78" s="81">
        <f t="shared" si="74"/>
        <v>0.35898259954023204</v>
      </c>
      <c r="O78" s="81">
        <f t="shared" si="74"/>
        <v>0.93198810318935255</v>
      </c>
      <c r="P78" s="81">
        <f t="shared" si="74"/>
        <v>0.23378581814133298</v>
      </c>
      <c r="Q78" s="81">
        <f t="shared" si="74"/>
        <v>0.19157975364679752</v>
      </c>
      <c r="R78" s="81">
        <f t="shared" si="74"/>
        <v>0.32013504175827356</v>
      </c>
      <c r="S78" s="81">
        <f t="shared" si="74"/>
        <v>0.22748091603053436</v>
      </c>
      <c r="T78" s="81">
        <f t="shared" si="74"/>
        <v>0.89867166520329778</v>
      </c>
      <c r="U78" s="81">
        <f t="shared" si="74"/>
        <v>0.25826588884249857</v>
      </c>
      <c r="V78" s="178">
        <f>U78*(1+V79)</f>
        <v>0.2620680030066993</v>
      </c>
      <c r="W78" s="178">
        <f t="shared" ref="W78" si="75">V78*(1+W79)</f>
        <v>0.26592609077307572</v>
      </c>
      <c r="X78" s="178">
        <f t="shared" ref="X78" si="76">W78*(1+X79)</f>
        <v>0.26984097616847319</v>
      </c>
      <c r="Y78" s="178">
        <f>Y77/Y$16</f>
        <v>0.99552574214633516</v>
      </c>
      <c r="Z78" s="178">
        <f>Y78*(1+Z79)</f>
        <v>1.0369396130196227</v>
      </c>
      <c r="AA78" s="178">
        <f t="shared" ref="AA78" si="77">Z78*(1+AA79)</f>
        <v>1.0784171975404075</v>
      </c>
      <c r="AB78" s="178">
        <f t="shared" ref="AB78" si="78">AA78*(1+AB79)</f>
        <v>1.1215538854420239</v>
      </c>
      <c r="AC78" s="178">
        <f t="shared" ref="AC78" si="79">AB78*(1+AC79)</f>
        <v>1.1664160408597049</v>
      </c>
      <c r="AD78" s="178">
        <f t="shared" ref="AD78" si="80">AC78*(1+AD79)</f>
        <v>1.2130726824940932</v>
      </c>
      <c r="AE78" s="178">
        <f t="shared" ref="AE78" si="81">AD78*(1+AE79)</f>
        <v>1.2615955897938569</v>
      </c>
      <c r="AF78" s="178">
        <f t="shared" ref="AF78" si="82">AE78*(1+AF79)</f>
        <v>1.3120594133856112</v>
      </c>
      <c r="AG78" s="178">
        <f t="shared" ref="AG78" si="83">AF78*(1+AG79)</f>
        <v>1.3645417899210357</v>
      </c>
      <c r="AH78" s="178">
        <f t="shared" ref="AH78" si="84">AG78*(1+AH79)</f>
        <v>1.4191234615178772</v>
      </c>
    </row>
    <row r="79" spans="1:35" s="78" customFormat="1" outlineLevel="5">
      <c r="B79" s="165" t="s">
        <v>329</v>
      </c>
      <c r="C79" s="5" t="s">
        <v>128</v>
      </c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79">
        <f>(1+$Y$79)^(3/12)-1</f>
        <v>1.4721704756447407E-2</v>
      </c>
      <c r="W79" s="179">
        <f t="shared" ref="W79:X79" si="85">(1+$Y$79)^(3/12)-1</f>
        <v>1.4721704756447407E-2</v>
      </c>
      <c r="X79" s="179">
        <f t="shared" si="85"/>
        <v>1.4721704756447407E-2</v>
      </c>
      <c r="Y79" s="148">
        <f>'Macro and Sector Data'!U4</f>
        <v>6.0199999999999997E-2</v>
      </c>
      <c r="Z79" s="148">
        <f>'Macro and Sector Data'!V4</f>
        <v>4.1599999999999998E-2</v>
      </c>
      <c r="AA79" s="148">
        <f>'Macro and Sector Data'!W4</f>
        <v>0.04</v>
      </c>
      <c r="AB79" s="148">
        <f>'Macro and Sector Data'!X4</f>
        <v>0.04</v>
      </c>
      <c r="AC79" s="148">
        <f>'Macro and Sector Data'!Y4</f>
        <v>0.04</v>
      </c>
      <c r="AD79" s="148">
        <f>'Macro and Sector Data'!Z4</f>
        <v>0.04</v>
      </c>
      <c r="AE79" s="148">
        <f>'Macro and Sector Data'!AA4</f>
        <v>0.04</v>
      </c>
      <c r="AF79" s="148">
        <f>'Macro and Sector Data'!AB4</f>
        <v>0.04</v>
      </c>
      <c r="AG79" s="148">
        <f>'Macro and Sector Data'!AC4</f>
        <v>0.04</v>
      </c>
      <c r="AH79" s="148">
        <f>'Macro and Sector Data'!AD4</f>
        <v>0.04</v>
      </c>
    </row>
    <row r="80" spans="1:35" ht="16.5" customHeight="1" outlineLevel="3">
      <c r="B80" s="83"/>
      <c r="C80" s="5"/>
    </row>
    <row r="81" spans="1:34" outlineLevel="3">
      <c r="B81" s="247" t="s">
        <v>165</v>
      </c>
      <c r="C81" s="1" t="s">
        <v>16</v>
      </c>
      <c r="D81" s="11"/>
      <c r="E81" s="11"/>
      <c r="F81" s="16">
        <f>-[3]IS!F19</f>
        <v>14.990399879999984</v>
      </c>
      <c r="G81" s="16">
        <f>-[3]IS!G19</f>
        <v>16.846800060000007</v>
      </c>
      <c r="H81" s="16">
        <f>-[3]IS!H19</f>
        <v>3.1580323973549445</v>
      </c>
      <c r="I81" s="16">
        <f>-[3]IS!I19</f>
        <v>14.872307540712157</v>
      </c>
      <c r="J81" s="16">
        <f>-IS!J17</f>
        <v>49.867539878067092</v>
      </c>
      <c r="K81" s="16">
        <f>-IS!K17</f>
        <v>11.121</v>
      </c>
      <c r="L81" s="16">
        <f>-IS!L17</f>
        <v>9.4789999999999992</v>
      </c>
      <c r="M81" s="16">
        <f>-IS!M17</f>
        <v>12.220047813529421</v>
      </c>
      <c r="N81" s="16">
        <f>-IS!N17</f>
        <v>10.426187877350879</v>
      </c>
      <c r="O81" s="16">
        <f>-IS!O17</f>
        <v>43.246235690880297</v>
      </c>
      <c r="P81" s="16">
        <f>-IS!P17</f>
        <v>15.1417581035161</v>
      </c>
      <c r="Q81" s="16">
        <f>-IS!Q17</f>
        <v>21.181231772948465</v>
      </c>
      <c r="R81" s="16">
        <f>-IS!R17</f>
        <v>14.295883045467374</v>
      </c>
      <c r="S81" s="16">
        <f>-IS!S17</f>
        <v>20.2</v>
      </c>
      <c r="T81" s="16">
        <f>-IS!T17</f>
        <v>70.818872921931941</v>
      </c>
      <c r="U81" s="16">
        <f>-IS!U17</f>
        <v>9.4448797582457509</v>
      </c>
      <c r="V81" s="16">
        <f>V82*V$16</f>
        <v>10.003658408755264</v>
      </c>
      <c r="W81" s="16">
        <f t="shared" ref="W81:X81" si="86">W82*W$16</f>
        <v>10.576842432417227</v>
      </c>
      <c r="X81" s="16">
        <f t="shared" si="86"/>
        <v>11.164734869222983</v>
      </c>
      <c r="Y81" s="16">
        <f>SUM(U81:X81)</f>
        <v>41.190115468641224</v>
      </c>
      <c r="Z81" s="16">
        <f>Z82*Z$16</f>
        <v>47.055587911375731</v>
      </c>
      <c r="AA81" s="16">
        <f t="shared" ref="AA81:AH81" si="87">AA82*AA$16</f>
        <v>52.392245175677644</v>
      </c>
      <c r="AB81" s="16">
        <f t="shared" si="87"/>
        <v>55.984856273438403</v>
      </c>
      <c r="AC81" s="16">
        <f t="shared" si="87"/>
        <v>59.78104866673894</v>
      </c>
      <c r="AD81" s="16">
        <f t="shared" si="87"/>
        <v>63.79136068146601</v>
      </c>
      <c r="AE81" s="16">
        <f t="shared" si="87"/>
        <v>68.026847979504453</v>
      </c>
      <c r="AF81" s="16">
        <f t="shared" si="87"/>
        <v>72.499108084295642</v>
      </c>
      <c r="AG81" s="16">
        <f t="shared" si="87"/>
        <v>77.220306040702923</v>
      </c>
      <c r="AH81" s="16">
        <f t="shared" si="87"/>
        <v>82.203201260687905</v>
      </c>
    </row>
    <row r="82" spans="1:34" outlineLevel="3">
      <c r="B82" s="87" t="s">
        <v>226</v>
      </c>
      <c r="C82" s="5" t="s">
        <v>16</v>
      </c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78">
        <f>T81/T16</f>
        <v>0.54060208337352622</v>
      </c>
      <c r="U82" s="178">
        <f>U81/U16</f>
        <v>6.8940728162377743E-2</v>
      </c>
      <c r="V82" s="178">
        <f>U82*(1+V83)</f>
        <v>6.9955653208078769E-2</v>
      </c>
      <c r="W82" s="178">
        <f t="shared" ref="W82:X82" si="88">V82*(1+W83)</f>
        <v>7.0985519680652531E-2</v>
      </c>
      <c r="X82" s="178">
        <f t="shared" si="88"/>
        <v>7.2030547543374082E-2</v>
      </c>
      <c r="Y82" s="178">
        <f>Y81/Y$16</f>
        <v>0.2657426804428466</v>
      </c>
      <c r="Z82" s="178">
        <f>Y82*(1+Z83)</f>
        <v>0.27679757594926901</v>
      </c>
      <c r="AA82" s="178">
        <f t="shared" ref="AA82" si="89">Z82*(1+AA83)</f>
        <v>0.2878694789872398</v>
      </c>
      <c r="AB82" s="178">
        <f t="shared" ref="AB82" si="90">AA82*(1+AB83)</f>
        <v>0.29938425814672942</v>
      </c>
      <c r="AC82" s="178">
        <f t="shared" ref="AC82" si="91">AB82*(1+AC83)</f>
        <v>0.31135962847259863</v>
      </c>
      <c r="AD82" s="178">
        <f t="shared" ref="AD82" si="92">AC82*(1+AD83)</f>
        <v>0.32381401361150258</v>
      </c>
      <c r="AE82" s="178">
        <f t="shared" ref="AE82" si="93">AD82*(1+AE83)</f>
        <v>0.33676657415596267</v>
      </c>
      <c r="AF82" s="178">
        <f t="shared" ref="AF82" si="94">AE82*(1+AF83)</f>
        <v>0.35023723712220117</v>
      </c>
      <c r="AG82" s="178">
        <f t="shared" ref="AG82" si="95">AF82*(1+AG83)</f>
        <v>0.36424672660708923</v>
      </c>
      <c r="AH82" s="178">
        <f t="shared" ref="AH82" si="96">AG82*(1+AH83)</f>
        <v>0.37881659567137282</v>
      </c>
    </row>
    <row r="83" spans="1:34" outlineLevel="3">
      <c r="B83" s="165" t="s">
        <v>329</v>
      </c>
      <c r="C83" s="5" t="s">
        <v>128</v>
      </c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78"/>
      <c r="U83" s="178"/>
      <c r="V83" s="179">
        <f>(1+$Y$83)^(3/12)-1</f>
        <v>1.4721704756447407E-2</v>
      </c>
      <c r="W83" s="179">
        <f t="shared" ref="W83:X83" si="97">(1+$Y$83)^(3/12)-1</f>
        <v>1.4721704756447407E-2</v>
      </c>
      <c r="X83" s="179">
        <f t="shared" si="97"/>
        <v>1.4721704756447407E-2</v>
      </c>
      <c r="Y83" s="179">
        <f>'Macro and Sector Data'!U4</f>
        <v>6.0199999999999997E-2</v>
      </c>
      <c r="Z83" s="179">
        <f>'Macro and Sector Data'!V4</f>
        <v>4.1599999999999998E-2</v>
      </c>
      <c r="AA83" s="179">
        <f>'Macro and Sector Data'!W4</f>
        <v>0.04</v>
      </c>
      <c r="AB83" s="179">
        <f>'Macro and Sector Data'!X4</f>
        <v>0.04</v>
      </c>
      <c r="AC83" s="179">
        <f>'Macro and Sector Data'!Y4</f>
        <v>0.04</v>
      </c>
      <c r="AD83" s="179">
        <f>'Macro and Sector Data'!Z4</f>
        <v>0.04</v>
      </c>
      <c r="AE83" s="179">
        <f>'Macro and Sector Data'!AA4</f>
        <v>0.04</v>
      </c>
      <c r="AF83" s="179">
        <f>'Macro and Sector Data'!AB4</f>
        <v>0.04</v>
      </c>
      <c r="AG83" s="179">
        <f>'Macro and Sector Data'!AC4</f>
        <v>0.04</v>
      </c>
      <c r="AH83" s="179">
        <f>'Macro and Sector Data'!AD4</f>
        <v>0.04</v>
      </c>
    </row>
    <row r="85" spans="1:34" s="185" customFormat="1" ht="15.6">
      <c r="B85" s="182" t="s">
        <v>227</v>
      </c>
      <c r="C85" s="183" t="s">
        <v>16</v>
      </c>
      <c r="D85" s="240">
        <f>-IS!D18</f>
        <v>17.928000000000001</v>
      </c>
      <c r="E85" s="240">
        <f>-IS!E18</f>
        <v>64.103999999999999</v>
      </c>
      <c r="F85" s="240">
        <f>-IS!F18</f>
        <v>23.212</v>
      </c>
      <c r="G85" s="240">
        <f>-IS!G18</f>
        <v>23.766999999999999</v>
      </c>
      <c r="H85" s="240">
        <f>-IS!H18</f>
        <v>25.957999999999998</v>
      </c>
      <c r="I85" s="240">
        <f>-IS!I18</f>
        <v>33.875999999999998</v>
      </c>
      <c r="J85" s="240">
        <f>-IS!J18</f>
        <v>106.81299999999999</v>
      </c>
      <c r="K85" s="240">
        <f>-IS!K18</f>
        <v>27.870999999999999</v>
      </c>
      <c r="L85" s="240">
        <f>-IS!L18</f>
        <v>36.014000000000003</v>
      </c>
      <c r="M85" s="240">
        <f>-IS!M18</f>
        <v>27.184000000000001</v>
      </c>
      <c r="N85" s="240">
        <f>-IS!N18</f>
        <v>35.904000000000003</v>
      </c>
      <c r="O85" s="240">
        <f>-IS!O18</f>
        <v>126.97300000000001</v>
      </c>
      <c r="P85" s="240">
        <f>-IS!P18</f>
        <v>34.979999999999997</v>
      </c>
      <c r="Q85" s="240">
        <f>-IS!Q18</f>
        <v>47.670999999999999</v>
      </c>
      <c r="R85" s="240">
        <f>-IS!R18</f>
        <v>49.106999999999999</v>
      </c>
      <c r="S85" s="240">
        <f>-IS!S18</f>
        <v>43.4</v>
      </c>
      <c r="T85" s="240">
        <f>-IS!T18</f>
        <v>175.15799999999999</v>
      </c>
      <c r="U85" s="240">
        <f>-IS!U18</f>
        <v>60.3</v>
      </c>
      <c r="V85" s="184"/>
      <c r="W85" s="184"/>
      <c r="X85" s="184"/>
      <c r="Y85" s="184">
        <f>SUM(U85:X85)</f>
        <v>60.3</v>
      </c>
      <c r="Z85" s="184"/>
      <c r="AA85" s="184"/>
      <c r="AB85" s="184"/>
      <c r="AC85" s="184"/>
      <c r="AD85" s="184"/>
      <c r="AE85" s="184"/>
      <c r="AF85" s="184"/>
      <c r="AG85" s="184"/>
      <c r="AH85" s="184"/>
    </row>
    <row r="86" spans="1:34"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</row>
    <row r="87" spans="1:34">
      <c r="B87" s="29" t="s">
        <v>228</v>
      </c>
      <c r="C87" s="5" t="s">
        <v>16</v>
      </c>
      <c r="D87" s="241">
        <f>-IS!D19</f>
        <v>0</v>
      </c>
      <c r="E87" s="241">
        <f>-IS!E19</f>
        <v>0</v>
      </c>
      <c r="F87" s="241">
        <f>-IS!F19</f>
        <v>0</v>
      </c>
      <c r="G87" s="241">
        <f>-IS!G19</f>
        <v>0</v>
      </c>
      <c r="H87" s="241">
        <f>-IS!H19</f>
        <v>-6.2830000000000004</v>
      </c>
      <c r="I87" s="241">
        <f>-IS!I19</f>
        <v>121.17700000000001</v>
      </c>
      <c r="J87" s="241">
        <f>-IS!J19</f>
        <v>114.89400000000001</v>
      </c>
      <c r="K87" s="241">
        <f>-IS!K19</f>
        <v>8.4169999999999998</v>
      </c>
      <c r="L87" s="241">
        <f>-IS!L19</f>
        <v>195.434</v>
      </c>
      <c r="M87" s="241">
        <f>-IS!M19</f>
        <v>-136.76400000000001</v>
      </c>
      <c r="N87" s="241">
        <f>-IS!N19</f>
        <v>2.0739999999999998</v>
      </c>
      <c r="O87" s="241">
        <f>-IS!O19</f>
        <v>69.160999999999987</v>
      </c>
      <c r="P87" s="241">
        <f>-IS!P19</f>
        <v>5.2859999999999996</v>
      </c>
      <c r="Q87" s="241">
        <f>-IS!Q19</f>
        <v>5.2869999999999999</v>
      </c>
      <c r="R87" s="241">
        <f>-IS!R19</f>
        <v>12.532912360000001</v>
      </c>
      <c r="S87" s="241">
        <f>-IS!S19</f>
        <v>4.2</v>
      </c>
      <c r="T87" s="241">
        <f>-IS!T19</f>
        <v>27.305912360000001</v>
      </c>
      <c r="U87" s="241">
        <f>-IS!U19</f>
        <v>7.9</v>
      </c>
      <c r="V87" s="17"/>
      <c r="W87" s="17"/>
      <c r="X87" s="17"/>
      <c r="Y87" s="17">
        <f>SUM(U87:X87)</f>
        <v>7.9</v>
      </c>
      <c r="Z87" s="17"/>
      <c r="AA87" s="17"/>
      <c r="AB87" s="17"/>
      <c r="AC87" s="17"/>
      <c r="AD87" s="17"/>
      <c r="AE87" s="17"/>
      <c r="AF87" s="17"/>
      <c r="AG87" s="17"/>
      <c r="AH87" s="17"/>
    </row>
    <row r="89" spans="1:34">
      <c r="A89" s="7"/>
      <c r="B89" s="30" t="s">
        <v>229</v>
      </c>
      <c r="C89" s="7"/>
      <c r="D89" s="6">
        <v>2018</v>
      </c>
      <c r="E89" s="6">
        <v>2019</v>
      </c>
      <c r="F89" s="8" t="s">
        <v>0</v>
      </c>
      <c r="G89" s="8" t="s">
        <v>1</v>
      </c>
      <c r="H89" s="8" t="s">
        <v>2</v>
      </c>
      <c r="I89" s="8" t="s">
        <v>3</v>
      </c>
      <c r="J89" s="6">
        <v>2020</v>
      </c>
      <c r="K89" s="8" t="s">
        <v>4</v>
      </c>
      <c r="L89" s="8" t="s">
        <v>5</v>
      </c>
      <c r="M89" s="8" t="s">
        <v>6</v>
      </c>
      <c r="N89" s="8" t="s">
        <v>7</v>
      </c>
      <c r="O89" s="6">
        <v>2021</v>
      </c>
      <c r="P89" s="8" t="s">
        <v>8</v>
      </c>
      <c r="Q89" s="8" t="s">
        <v>9</v>
      </c>
      <c r="R89" s="8" t="s">
        <v>10</v>
      </c>
      <c r="S89" s="8" t="s">
        <v>11</v>
      </c>
      <c r="T89" s="6">
        <v>2022</v>
      </c>
      <c r="U89" s="64" t="s">
        <v>100</v>
      </c>
      <c r="V89" s="63" t="s">
        <v>101</v>
      </c>
      <c r="W89" s="63" t="s">
        <v>102</v>
      </c>
      <c r="X89" s="63" t="s">
        <v>103</v>
      </c>
      <c r="Y89" s="37">
        <v>2023</v>
      </c>
      <c r="Z89" s="37">
        <v>2024</v>
      </c>
      <c r="AA89" s="37">
        <v>2025</v>
      </c>
      <c r="AB89" s="37">
        <v>2026</v>
      </c>
      <c r="AC89" s="37">
        <v>2027</v>
      </c>
      <c r="AD89" s="37">
        <v>2028</v>
      </c>
      <c r="AE89" s="37">
        <v>2029</v>
      </c>
      <c r="AF89" s="37">
        <v>2030</v>
      </c>
      <c r="AG89" s="37">
        <v>2031</v>
      </c>
      <c r="AH89" s="37">
        <v>2032</v>
      </c>
    </row>
    <row r="90" spans="1:34" s="11" customFormat="1">
      <c r="B90" s="11" t="s">
        <v>18</v>
      </c>
      <c r="D90" s="167">
        <f>IS!D8</f>
        <v>1050.836</v>
      </c>
      <c r="E90" s="167">
        <f>IS!E8</f>
        <v>1689.51</v>
      </c>
      <c r="F90" s="167">
        <f>IS!F8</f>
        <v>453.35899999999998</v>
      </c>
      <c r="G90" s="167">
        <f>IS!G8</f>
        <v>482.65499999999997</v>
      </c>
      <c r="H90" s="167">
        <f>IS!H8</f>
        <v>524.85799999999995</v>
      </c>
      <c r="I90" s="167">
        <f>IS!I8</f>
        <v>574.26370842000017</v>
      </c>
      <c r="J90" s="167">
        <f>IS!J8</f>
        <v>2035.1357084200001</v>
      </c>
      <c r="K90" s="167">
        <f>IS!K8</f>
        <v>614.55200000000002</v>
      </c>
      <c r="L90" s="167">
        <f>IS!L8</f>
        <v>640.21500000000003</v>
      </c>
      <c r="M90" s="167">
        <f>IS!M8</f>
        <v>679.42000000000007</v>
      </c>
      <c r="N90" s="167">
        <f>IS!N8</f>
        <v>767.87899999999991</v>
      </c>
      <c r="O90" s="167">
        <f>IS!O8</f>
        <v>2702.0659999999998</v>
      </c>
      <c r="P90" s="167">
        <f>IS!P8</f>
        <v>807.952</v>
      </c>
      <c r="Q90" s="167">
        <f>IS!Q8</f>
        <v>899.9</v>
      </c>
      <c r="R90" s="167">
        <f>IS!R8</f>
        <v>1163.8720000000001</v>
      </c>
      <c r="S90" s="167">
        <f>IS!S8</f>
        <v>1216.528</v>
      </c>
      <c r="T90" s="167">
        <f>IS!T8</f>
        <v>4088.2520000000004</v>
      </c>
      <c r="U90" s="167">
        <f>IS!U8</f>
        <v>1293.5</v>
      </c>
      <c r="V90" s="167">
        <f>IS!V8</f>
        <v>1323.2108244680076</v>
      </c>
      <c r="W90" s="167">
        <f>IS!W8</f>
        <v>1428.5296414633349</v>
      </c>
      <c r="X90" s="167">
        <f>IS!X8</f>
        <v>1500.6617374726836</v>
      </c>
      <c r="Y90" s="167">
        <f>IS!Y8</f>
        <v>5545.9022034040245</v>
      </c>
      <c r="Z90" s="167">
        <f>IS!Z8</f>
        <v>6463.4228533280675</v>
      </c>
      <c r="AA90" s="167">
        <f>IS!AA8</f>
        <v>7453.7029279472627</v>
      </c>
      <c r="AB90" s="167">
        <f>IS!AB8</f>
        <v>8199.2166274765532</v>
      </c>
      <c r="AC90" s="167">
        <f>IS!AC8</f>
        <v>9013.0306202375341</v>
      </c>
      <c r="AD90" s="167">
        <f>IS!AD8</f>
        <v>9901.0871081011137</v>
      </c>
      <c r="AE90" s="167">
        <f>IS!AE8</f>
        <v>10869.827975478463</v>
      </c>
      <c r="AF90" s="167">
        <f>IS!AF8</f>
        <v>11926.235808986696</v>
      </c>
      <c r="AG90" s="167">
        <f>IS!AG8</f>
        <v>13077.878224851755</v>
      </c>
      <c r="AH90" s="167">
        <f>IS!AH8</f>
        <v>14332.955767136074</v>
      </c>
    </row>
    <row r="91" spans="1:34" s="11" customFormat="1">
      <c r="B91" s="11" t="s">
        <v>34</v>
      </c>
      <c r="D91" s="167">
        <f>IS!D28</f>
        <v>53.769000000000062</v>
      </c>
      <c r="E91" s="167">
        <f>IS!E28</f>
        <v>16.265000000000008</v>
      </c>
      <c r="F91" s="167">
        <f>IS!F28</f>
        <v>-8.8463998800000212</v>
      </c>
      <c r="G91" s="167">
        <f>IS!G28</f>
        <v>10.321053808256202</v>
      </c>
      <c r="H91" s="167">
        <f>IS!H28</f>
        <v>40.136645202288676</v>
      </c>
      <c r="I91" s="167">
        <f>IS!I28</f>
        <v>-94.8666002239286</v>
      </c>
      <c r="J91" s="167">
        <f>IS!J28</f>
        <v>-53.255301093383665</v>
      </c>
      <c r="K91" s="167">
        <f>IS!K28</f>
        <v>27.743414630000046</v>
      </c>
      <c r="L91" s="167">
        <f>IS!L28</f>
        <v>-183.78888557000002</v>
      </c>
      <c r="M91" s="167">
        <f>IS!M28</f>
        <v>167.77258114786704</v>
      </c>
      <c r="N91" s="167">
        <f>IS!N28</f>
        <v>50.644331858290613</v>
      </c>
      <c r="O91" s="167">
        <f>IS!O28</f>
        <v>62.371442066157485</v>
      </c>
      <c r="P91" s="167">
        <f>IS!P28</f>
        <v>16.010420189466181</v>
      </c>
      <c r="Q91" s="167">
        <f>IS!Q28</f>
        <v>5.5106639085219769</v>
      </c>
      <c r="R91" s="167">
        <f>IS!R28</f>
        <v>34.89160506201199</v>
      </c>
      <c r="S91" s="167">
        <f>IS!S28</f>
        <v>65.112000000000052</v>
      </c>
      <c r="T91" s="167">
        <f>IS!T28</f>
        <v>121.52468916000055</v>
      </c>
      <c r="U91" s="167">
        <f>IS!U28</f>
        <v>74.949999999999989</v>
      </c>
      <c r="V91" s="167">
        <f ca="1">IS!V28</f>
        <v>3.1978552933499316</v>
      </c>
      <c r="W91" s="167">
        <f ca="1">IS!W28</f>
        <v>90.862452878704715</v>
      </c>
      <c r="X91" s="167">
        <f ca="1">IS!X28</f>
        <v>60.660494336397363</v>
      </c>
      <c r="Y91" s="167">
        <f ca="1">IS!Y28</f>
        <v>229.670802508452</v>
      </c>
      <c r="Z91" s="167">
        <f ca="1">IS!Z28</f>
        <v>534.46328506706845</v>
      </c>
      <c r="AA91" s="167">
        <f ca="1">IS!AA28</f>
        <v>780.72540001001073</v>
      </c>
      <c r="AB91" s="167">
        <f ca="1">IS!AB28</f>
        <v>978.00187767315037</v>
      </c>
      <c r="AC91" s="167">
        <f ca="1">IS!AC28</f>
        <v>1199.280587597892</v>
      </c>
      <c r="AD91" s="167">
        <f ca="1">IS!AD28</f>
        <v>1467.3922184705352</v>
      </c>
      <c r="AE91" s="167">
        <f ca="1">IS!AE28</f>
        <v>1772.5073312426659</v>
      </c>
      <c r="AF91" s="167">
        <f ca="1">IS!AF28</f>
        <v>2118.8001125195692</v>
      </c>
      <c r="AG91" s="167">
        <f ca="1">IS!AG28</f>
        <v>2510.9424866947002</v>
      </c>
      <c r="AH91" s="167">
        <f ca="1">IS!AH28</f>
        <v>2959.9506266059389</v>
      </c>
    </row>
    <row r="92" spans="1:34" s="78" customFormat="1">
      <c r="B92" s="77" t="s">
        <v>230</v>
      </c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7">
        <v>0.34</v>
      </c>
      <c r="W92" s="187">
        <v>0.34</v>
      </c>
      <c r="X92" s="187">
        <v>0.34</v>
      </c>
      <c r="Y92" s="187">
        <v>0.34</v>
      </c>
      <c r="Z92" s="187">
        <v>0.34</v>
      </c>
      <c r="AA92" s="187">
        <v>0.34</v>
      </c>
      <c r="AB92" s="187">
        <v>0.34</v>
      </c>
      <c r="AC92" s="187">
        <v>0.34</v>
      </c>
      <c r="AD92" s="187">
        <v>0.34</v>
      </c>
      <c r="AE92" s="187">
        <v>0.34</v>
      </c>
      <c r="AF92" s="187">
        <v>0.34</v>
      </c>
      <c r="AG92" s="187">
        <v>0.34</v>
      </c>
      <c r="AH92" s="187">
        <v>0.34</v>
      </c>
    </row>
    <row r="93" spans="1:34">
      <c r="X93" s="104"/>
    </row>
    <row r="94" spans="1:34">
      <c r="B94" t="s">
        <v>231</v>
      </c>
      <c r="D94" s="17">
        <f>IS!D29</f>
        <v>-37.512</v>
      </c>
      <c r="E94" s="17">
        <f>IS!E29</f>
        <v>-61.273000000000003</v>
      </c>
      <c r="F94" s="17">
        <f>IS!F29</f>
        <v>-11.400000000000016</v>
      </c>
      <c r="G94" s="17">
        <f>IS!G29</f>
        <v>-14.000000000000002</v>
      </c>
      <c r="H94" s="17">
        <f>IS!H29</f>
        <v>-17.8</v>
      </c>
      <c r="I94" s="17">
        <f>IS!I29</f>
        <v>-24.799999999999997</v>
      </c>
      <c r="J94" s="17">
        <f>IS!J29</f>
        <v>-68</v>
      </c>
      <c r="K94" s="17">
        <f>IS!K29</f>
        <v>-21.200000000000003</v>
      </c>
      <c r="L94" s="17">
        <f>IS!L29</f>
        <v>-18.8</v>
      </c>
      <c r="M94" s="17">
        <f>IS!M29</f>
        <v>-17</v>
      </c>
      <c r="N94" s="17">
        <f>IS!N29</f>
        <v>-27.799999999999997</v>
      </c>
      <c r="O94" s="17">
        <f>IS!O29</f>
        <v>-84.800000000000011</v>
      </c>
      <c r="P94" s="17">
        <f>IS!P29</f>
        <v>-31.6</v>
      </c>
      <c r="Q94" s="17">
        <f>IS!Q29</f>
        <v>-30.1</v>
      </c>
      <c r="R94" s="17">
        <f>IS!R29</f>
        <v>22.1</v>
      </c>
      <c r="S94" s="17">
        <f>IS!S29</f>
        <v>31.800000000000004</v>
      </c>
      <c r="T94" s="17">
        <f>IS!T29</f>
        <v>-7.7999999999999972</v>
      </c>
      <c r="U94" s="17">
        <f>IS!U29</f>
        <v>-33.72</v>
      </c>
      <c r="V94" s="17">
        <f ca="1">-V92*V91</f>
        <v>-1.0872707997389768</v>
      </c>
      <c r="W94" s="17">
        <f t="shared" ref="W94:X94" ca="1" si="98">-W92*W91</f>
        <v>-30.893233978759607</v>
      </c>
      <c r="X94" s="17">
        <f t="shared" ca="1" si="98"/>
        <v>-20.624568074375105</v>
      </c>
      <c r="Y94" s="17">
        <f ca="1">SUM(U94:X94)</f>
        <v>-86.325072852873689</v>
      </c>
      <c r="Z94" s="17">
        <f ca="1">-Z92*Z91</f>
        <v>-181.7175169228033</v>
      </c>
      <c r="AA94" s="17">
        <f t="shared" ref="AA94:AH94" ca="1" si="99">-AA92*AA91</f>
        <v>-265.44663600340368</v>
      </c>
      <c r="AB94" s="17">
        <f t="shared" ca="1" si="99"/>
        <v>-332.52063840887115</v>
      </c>
      <c r="AC94" s="17">
        <f t="shared" ca="1" si="99"/>
        <v>-407.75539978328334</v>
      </c>
      <c r="AD94" s="17">
        <f t="shared" ca="1" si="99"/>
        <v>-498.913354279982</v>
      </c>
      <c r="AE94" s="17">
        <f t="shared" ca="1" si="99"/>
        <v>-602.65249262250643</v>
      </c>
      <c r="AF94" s="17">
        <f t="shared" ca="1" si="99"/>
        <v>-720.39203825665356</v>
      </c>
      <c r="AG94" s="17">
        <f t="shared" ca="1" si="99"/>
        <v>-853.72044547619817</v>
      </c>
      <c r="AH94" s="17">
        <f t="shared" ca="1" si="99"/>
        <v>-1006.3832130460193</v>
      </c>
    </row>
    <row r="96" spans="1:34" ht="15.6">
      <c r="E96" s="190"/>
      <c r="L96" s="13"/>
      <c r="Y96" s="188"/>
    </row>
    <row r="97" spans="5:25">
      <c r="E97" s="189"/>
      <c r="Y97" s="189"/>
    </row>
    <row r="98" spans="5:25">
      <c r="E98" s="190"/>
      <c r="Y98" s="189"/>
    </row>
    <row r="99" spans="5:25" ht="15.6">
      <c r="E99" s="188"/>
      <c r="Y99" s="189"/>
    </row>
    <row r="100" spans="5:25" ht="15.6">
      <c r="E100" s="190"/>
      <c r="Y100" s="188"/>
    </row>
    <row r="101" spans="5:25">
      <c r="E101" s="189"/>
      <c r="Y101" s="189"/>
    </row>
    <row r="102" spans="5:25">
      <c r="E102" s="190"/>
      <c r="Y102" s="189"/>
    </row>
    <row r="103" spans="5:25" ht="15.6">
      <c r="E103" s="188"/>
      <c r="Y103" s="189"/>
    </row>
    <row r="104" spans="5:25" ht="15.6">
      <c r="Y104" s="188"/>
    </row>
    <row r="131" spans="20:37">
      <c r="AE131" t="s">
        <v>232</v>
      </c>
      <c r="AF131" t="s">
        <v>233</v>
      </c>
      <c r="AG131" t="s">
        <v>154</v>
      </c>
      <c r="AH131" t="s">
        <v>155</v>
      </c>
      <c r="AI131" t="s">
        <v>234</v>
      </c>
      <c r="AJ131" t="s">
        <v>235</v>
      </c>
      <c r="AK131" t="s">
        <v>236</v>
      </c>
    </row>
    <row r="132" spans="20:37">
      <c r="T132" s="5" t="s">
        <v>232</v>
      </c>
      <c r="Y132" t="s">
        <v>237</v>
      </c>
      <c r="Z132" t="s">
        <v>238</v>
      </c>
      <c r="AA132" t="s">
        <v>239</v>
      </c>
      <c r="AB132" t="s">
        <v>240</v>
      </c>
      <c r="AE132">
        <v>22</v>
      </c>
      <c r="AF132" s="191">
        <v>4440.2430000000004</v>
      </c>
      <c r="AG132" s="191">
        <v>3818.6089800000004</v>
      </c>
      <c r="AH132" s="191">
        <v>621.63402000000008</v>
      </c>
      <c r="AI132" s="177">
        <v>0</v>
      </c>
      <c r="AJ132" s="177">
        <v>0.86</v>
      </c>
      <c r="AK132" s="177">
        <v>0.14000000000000001</v>
      </c>
    </row>
    <row r="133" spans="20:37">
      <c r="T133" s="5">
        <v>2022</v>
      </c>
      <c r="Y133">
        <v>127</v>
      </c>
      <c r="Z133">
        <v>6</v>
      </c>
      <c r="AA133">
        <v>41</v>
      </c>
      <c r="AB133">
        <v>1</v>
      </c>
      <c r="AE133" s="192">
        <v>23</v>
      </c>
      <c r="AF133" s="191">
        <v>5382.9701419085231</v>
      </c>
      <c r="AG133" s="191">
        <v>4530.0496730976174</v>
      </c>
      <c r="AH133" s="191">
        <v>852.92046881090607</v>
      </c>
      <c r="AI133" s="177">
        <v>0.21231431295731398</v>
      </c>
      <c r="AJ133" s="177">
        <v>0.84155207137959265</v>
      </c>
      <c r="AK133" s="177">
        <v>0.15844792862040741</v>
      </c>
    </row>
    <row r="134" spans="20:37">
      <c r="T134" s="5" t="s">
        <v>241</v>
      </c>
      <c r="Y134">
        <v>137</v>
      </c>
      <c r="Z134">
        <v>10</v>
      </c>
      <c r="AA134">
        <v>10</v>
      </c>
      <c r="AB134">
        <v>4</v>
      </c>
      <c r="AE134" s="192">
        <v>24</v>
      </c>
      <c r="AF134" s="191">
        <v>6261.155458688766</v>
      </c>
      <c r="AG134" s="191">
        <v>5333.8450397650722</v>
      </c>
      <c r="AH134" s="191">
        <v>927.31041892369387</v>
      </c>
      <c r="AI134" s="177">
        <v>0.16314140588357112</v>
      </c>
      <c r="AJ134" s="177">
        <v>0.85189468221287468</v>
      </c>
      <c r="AK134" s="177">
        <v>0.1481053177871253</v>
      </c>
    </row>
    <row r="135" spans="20:37">
      <c r="T135" s="5" t="s">
        <v>242</v>
      </c>
      <c r="Y135">
        <v>152</v>
      </c>
      <c r="Z135">
        <v>10</v>
      </c>
      <c r="AA135">
        <v>15</v>
      </c>
      <c r="AB135">
        <v>0</v>
      </c>
      <c r="AE135" s="192">
        <v>25</v>
      </c>
      <c r="AF135" s="191">
        <v>7088.965899079225</v>
      </c>
      <c r="AG135" s="191">
        <v>6022.577021698502</v>
      </c>
      <c r="AH135" s="191">
        <v>1066.3888773807232</v>
      </c>
      <c r="AI135" s="177">
        <v>0.13221368577291676</v>
      </c>
      <c r="AJ135" s="177">
        <v>0.84957060133139661</v>
      </c>
      <c r="AK135" s="177">
        <v>0.15042939866860339</v>
      </c>
    </row>
    <row r="136" spans="20:37">
      <c r="T136" s="5" t="s">
        <v>243</v>
      </c>
      <c r="Y136">
        <v>162</v>
      </c>
      <c r="Z136">
        <v>12</v>
      </c>
      <c r="AA136">
        <v>10</v>
      </c>
      <c r="AB136">
        <v>2</v>
      </c>
      <c r="AE136" s="192">
        <v>26</v>
      </c>
      <c r="AF136" s="191">
        <v>7977.5853371432122</v>
      </c>
      <c r="AG136" s="191">
        <v>6755.1294389065179</v>
      </c>
      <c r="AH136" s="191">
        <v>1222.4558982366943</v>
      </c>
      <c r="AI136" s="177">
        <v>0.12535247745787698</v>
      </c>
      <c r="AJ136" s="177">
        <v>0.84676367013650045</v>
      </c>
      <c r="AK136" s="177">
        <v>0.15323632986349953</v>
      </c>
    </row>
    <row r="137" spans="20:37">
      <c r="T137" s="5" t="s">
        <v>244</v>
      </c>
      <c r="Y137">
        <v>170</v>
      </c>
      <c r="Z137">
        <v>12</v>
      </c>
      <c r="AA137">
        <v>8</v>
      </c>
      <c r="AB137">
        <v>0</v>
      </c>
      <c r="AE137" s="192">
        <v>27</v>
      </c>
      <c r="AF137" s="191">
        <v>8957.4049233750538</v>
      </c>
      <c r="AG137" s="191">
        <v>7560.0063742472794</v>
      </c>
      <c r="AH137" s="191">
        <v>1397.3985491277738</v>
      </c>
      <c r="AI137" s="177">
        <v>0.12282157380001363</v>
      </c>
      <c r="AJ137" s="177">
        <v>0.84399515695878025</v>
      </c>
      <c r="AK137" s="177">
        <v>0.1560048430412197</v>
      </c>
    </row>
    <row r="138" spans="20:37">
      <c r="T138" s="5" t="s">
        <v>245</v>
      </c>
      <c r="Y138">
        <v>178</v>
      </c>
      <c r="Z138">
        <v>12</v>
      </c>
      <c r="AA138">
        <v>8</v>
      </c>
      <c r="AB138">
        <v>0</v>
      </c>
      <c r="AE138" s="192">
        <v>28</v>
      </c>
      <c r="AF138" s="191">
        <v>10103.433033131863</v>
      </c>
      <c r="AG138" s="191">
        <v>8483.9025173434184</v>
      </c>
      <c r="AH138" s="191">
        <v>1619.530515788445</v>
      </c>
      <c r="AI138" s="177">
        <v>0.12794197868248189</v>
      </c>
      <c r="AJ138" s="177">
        <v>0.83970492896052551</v>
      </c>
      <c r="AK138" s="177">
        <v>0.16029507103947446</v>
      </c>
    </row>
    <row r="139" spans="20:37">
      <c r="T139" s="5" t="s">
        <v>246</v>
      </c>
      <c r="Y139">
        <v>186</v>
      </c>
      <c r="Z139">
        <v>12</v>
      </c>
      <c r="AA139">
        <v>8</v>
      </c>
      <c r="AB139">
        <v>0</v>
      </c>
      <c r="AE139" s="192">
        <v>29</v>
      </c>
      <c r="AF139" s="191">
        <v>11191.857620288234</v>
      </c>
      <c r="AG139" s="191">
        <v>9405.1238807957016</v>
      </c>
      <c r="AH139" s="191">
        <v>1786.7337394925323</v>
      </c>
      <c r="AI139" s="177">
        <v>0.1077281933365753</v>
      </c>
      <c r="AJ139" s="177">
        <v>0.84035413957968874</v>
      </c>
      <c r="AK139" s="177">
        <v>0.15964586042031126</v>
      </c>
    </row>
    <row r="140" spans="20:37">
      <c r="T140" s="5" t="s">
        <v>247</v>
      </c>
      <c r="Y140">
        <v>192</v>
      </c>
      <c r="Z140">
        <v>12</v>
      </c>
      <c r="AA140">
        <v>6</v>
      </c>
      <c r="AB140">
        <v>0</v>
      </c>
      <c r="AE140" s="192">
        <v>30</v>
      </c>
      <c r="AF140" s="191">
        <v>12334.785995691096</v>
      </c>
      <c r="AG140" s="191">
        <v>10363.586672974547</v>
      </c>
      <c r="AH140" s="191">
        <v>1971.1993227165501</v>
      </c>
      <c r="AI140" s="177">
        <v>0.10212141846148926</v>
      </c>
      <c r="AJ140" s="177">
        <v>0.84019185064052615</v>
      </c>
      <c r="AK140" s="177">
        <v>0.15980814935947393</v>
      </c>
    </row>
    <row r="141" spans="20:37">
      <c r="T141" s="5" t="s">
        <v>248</v>
      </c>
      <c r="Y141">
        <v>197</v>
      </c>
      <c r="Z141">
        <v>12</v>
      </c>
      <c r="AA141">
        <v>5</v>
      </c>
      <c r="AB141">
        <v>0</v>
      </c>
      <c r="AE141" s="192">
        <v>31</v>
      </c>
      <c r="AF141" s="191">
        <v>13673.374106655659</v>
      </c>
      <c r="AG141" s="191">
        <v>11498.664644359515</v>
      </c>
      <c r="AH141" s="191">
        <v>2174.7094622961454</v>
      </c>
      <c r="AI141" s="177">
        <v>0.10852138913736903</v>
      </c>
      <c r="AJ141" s="177">
        <v>0.84095297581029527</v>
      </c>
      <c r="AK141" s="177">
        <v>0.15904702418970476</v>
      </c>
    </row>
    <row r="142" spans="20:37">
      <c r="T142" s="5" t="s">
        <v>249</v>
      </c>
      <c r="Y142">
        <v>200</v>
      </c>
      <c r="Z142">
        <v>12</v>
      </c>
      <c r="AA142">
        <v>3</v>
      </c>
      <c r="AB142">
        <v>0</v>
      </c>
      <c r="AE142" s="192">
        <v>32</v>
      </c>
      <c r="AF142" s="191">
        <v>14447.156777144681</v>
      </c>
      <c r="AG142" s="191">
        <v>12131.091199799286</v>
      </c>
      <c r="AH142" s="191">
        <v>2316.065577345395</v>
      </c>
      <c r="AI142" s="177">
        <v>5.6590470241896937E-2</v>
      </c>
      <c r="AJ142" s="177">
        <v>0.83968710154724724</v>
      </c>
      <c r="AK142" s="177">
        <v>0.16031289845275282</v>
      </c>
    </row>
    <row r="143" spans="20:37">
      <c r="T143" s="5" t="s">
        <v>250</v>
      </c>
      <c r="Y143">
        <v>200</v>
      </c>
      <c r="Z143">
        <v>12</v>
      </c>
      <c r="AA143">
        <v>0</v>
      </c>
      <c r="AB143">
        <v>0</v>
      </c>
    </row>
  </sheetData>
  <pageMargins left="0.7" right="0.7" top="0.75" bottom="0.75" header="0.3" footer="0.3"/>
  <pageSetup paperSize="9" orientation="portrait" r:id="rId1"/>
  <ignoredErrors>
    <ignoredError sqref="Y16:Y18" formula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2D2B-D93C-4916-9D6A-249B8C4F6C71}">
  <dimension ref="B1:AG155"/>
  <sheetViews>
    <sheetView showGridLines="0" workbookViewId="0">
      <selection activeCell="O17" sqref="O17"/>
    </sheetView>
  </sheetViews>
  <sheetFormatPr defaultRowHeight="14.4" outlineLevelRow="2" outlineLevelCol="1"/>
  <cols>
    <col min="2" max="2" width="55" customWidth="1"/>
    <col min="3" max="3" width="44.33203125" bestFit="1" customWidth="1"/>
    <col min="4" max="5" width="9.6640625" bestFit="1" customWidth="1"/>
    <col min="6" max="9" width="0" hidden="1" customWidth="1" outlineLevel="1"/>
    <col min="10" max="10" width="9.88671875" style="5" customWidth="1" collapsed="1"/>
    <col min="11" max="14" width="9.88671875" style="5" hidden="1" customWidth="1" outlineLevel="1"/>
    <col min="15" max="15" width="9.88671875" style="5" customWidth="1" collapsed="1"/>
    <col min="16" max="19" width="9.88671875" style="5" customWidth="1" outlineLevel="1"/>
    <col min="20" max="20" width="9.88671875" style="5" customWidth="1"/>
    <col min="21" max="21" width="14.5546875" bestFit="1" customWidth="1"/>
    <col min="22" max="30" width="12.6640625" bestFit="1" customWidth="1"/>
    <col min="31" max="31" width="12.88671875" bestFit="1" customWidth="1"/>
  </cols>
  <sheetData>
    <row r="1" spans="2:30">
      <c r="B1" s="195" t="s">
        <v>251</v>
      </c>
      <c r="C1" s="196"/>
      <c r="D1" s="6">
        <v>2018</v>
      </c>
      <c r="E1" s="6">
        <v>2019</v>
      </c>
      <c r="F1" s="8" t="s">
        <v>0</v>
      </c>
      <c r="G1" s="8" t="s">
        <v>1</v>
      </c>
      <c r="H1" s="8" t="s">
        <v>2</v>
      </c>
      <c r="I1" s="8" t="s">
        <v>3</v>
      </c>
      <c r="J1" s="6">
        <v>2020</v>
      </c>
      <c r="K1" s="8" t="s">
        <v>4</v>
      </c>
      <c r="L1" s="8" t="s">
        <v>5</v>
      </c>
      <c r="M1" s="8" t="s">
        <v>6</v>
      </c>
      <c r="N1" s="8" t="s">
        <v>7</v>
      </c>
      <c r="O1" s="6">
        <v>2021</v>
      </c>
      <c r="P1" s="8" t="s">
        <v>8</v>
      </c>
      <c r="Q1" s="8" t="s">
        <v>9</v>
      </c>
      <c r="R1" s="8" t="s">
        <v>10</v>
      </c>
      <c r="S1" s="8" t="s">
        <v>11</v>
      </c>
      <c r="T1" s="6">
        <v>2022</v>
      </c>
      <c r="U1" s="37">
        <v>2023</v>
      </c>
      <c r="V1" s="37">
        <v>2024</v>
      </c>
      <c r="W1" s="37">
        <v>2025</v>
      </c>
      <c r="X1" s="37">
        <v>2026</v>
      </c>
      <c r="Y1" s="37">
        <v>2027</v>
      </c>
      <c r="Z1" s="37">
        <v>2028</v>
      </c>
      <c r="AA1" s="37">
        <v>2029</v>
      </c>
      <c r="AB1" s="37">
        <v>2030</v>
      </c>
      <c r="AC1" s="37">
        <v>2031</v>
      </c>
      <c r="AD1" s="37">
        <v>2032</v>
      </c>
    </row>
    <row r="2" spans="2:30">
      <c r="B2" s="195" t="s">
        <v>252</v>
      </c>
      <c r="C2" s="196"/>
      <c r="D2" s="6">
        <v>2018</v>
      </c>
      <c r="E2" s="6">
        <v>2019</v>
      </c>
      <c r="F2" s="8" t="s">
        <v>0</v>
      </c>
      <c r="G2" s="8" t="s">
        <v>1</v>
      </c>
      <c r="H2" s="8" t="s">
        <v>2</v>
      </c>
      <c r="I2" s="8" t="s">
        <v>3</v>
      </c>
      <c r="J2" s="6">
        <v>2020</v>
      </c>
      <c r="K2" s="8" t="s">
        <v>4</v>
      </c>
      <c r="L2" s="8" t="s">
        <v>5</v>
      </c>
      <c r="M2" s="8" t="s">
        <v>6</v>
      </c>
      <c r="N2" s="8" t="s">
        <v>7</v>
      </c>
      <c r="O2" s="6">
        <v>2021</v>
      </c>
      <c r="P2" s="8" t="s">
        <v>8</v>
      </c>
      <c r="Q2" s="8" t="s">
        <v>9</v>
      </c>
      <c r="R2" s="8" t="s">
        <v>10</v>
      </c>
      <c r="S2" s="8" t="s">
        <v>11</v>
      </c>
      <c r="T2" s="6">
        <v>2022</v>
      </c>
      <c r="U2" s="37">
        <v>2023</v>
      </c>
      <c r="V2" s="37">
        <v>2024</v>
      </c>
      <c r="W2" s="37">
        <v>2025</v>
      </c>
      <c r="X2" s="37">
        <v>2026</v>
      </c>
      <c r="Y2" s="37">
        <v>2027</v>
      </c>
      <c r="Z2" s="37">
        <v>2028</v>
      </c>
      <c r="AA2" s="37">
        <v>2029</v>
      </c>
      <c r="AB2" s="37">
        <v>2030</v>
      </c>
      <c r="AC2" s="37">
        <v>2031</v>
      </c>
      <c r="AD2" s="37">
        <v>2032</v>
      </c>
    </row>
    <row r="3" spans="2:30" s="78" customFormat="1">
      <c r="B3" s="78" t="s">
        <v>253</v>
      </c>
      <c r="C3" s="90" t="s">
        <v>128</v>
      </c>
      <c r="D3" s="143">
        <v>1.7836719075374097E-2</v>
      </c>
      <c r="E3" s="143">
        <v>1.2207616871652505E-2</v>
      </c>
      <c r="F3" s="197">
        <v>1.1000000000000001E-2</v>
      </c>
      <c r="G3" s="197">
        <v>-1.7000000000000001E-2</v>
      </c>
      <c r="H3" s="197">
        <v>-2.7999999999999997E-2</v>
      </c>
      <c r="I3" s="197">
        <v>-3.3000000000000002E-2</v>
      </c>
      <c r="J3" s="119">
        <f>I3</f>
        <v>-3.3000000000000002E-2</v>
      </c>
      <c r="K3" s="119">
        <v>-0.03</v>
      </c>
      <c r="L3" s="119">
        <v>2.4E-2</v>
      </c>
      <c r="M3" s="119">
        <v>4.2999999999999997E-2</v>
      </c>
      <c r="N3" s="119">
        <v>0.05</v>
      </c>
      <c r="O3" s="119">
        <f>N3</f>
        <v>0.05</v>
      </c>
      <c r="P3" s="119">
        <v>5.2000000000000005E-2</v>
      </c>
      <c r="Q3" s="119">
        <v>3.2000000000000001E-2</v>
      </c>
      <c r="R3" s="119">
        <v>0.03</v>
      </c>
      <c r="S3" s="119">
        <v>2.8999999999999998E-2</v>
      </c>
      <c r="T3" s="119">
        <f>S3</f>
        <v>2.8999999999999998E-2</v>
      </c>
      <c r="U3" s="119">
        <v>0.01</v>
      </c>
      <c r="V3" s="119">
        <v>1.4E-2</v>
      </c>
      <c r="W3" s="119">
        <v>1.7999999999999999E-2</v>
      </c>
      <c r="X3" s="119">
        <v>1.7999999999999999E-2</v>
      </c>
      <c r="Y3" s="119">
        <v>1.7999999999999999E-2</v>
      </c>
      <c r="Z3" s="119">
        <v>1.7999999999999999E-2</v>
      </c>
      <c r="AA3" s="119">
        <v>1.7999999999999999E-2</v>
      </c>
      <c r="AB3" s="119">
        <v>1.7999999999999999E-2</v>
      </c>
      <c r="AC3" s="119">
        <v>1.7999999999999999E-2</v>
      </c>
      <c r="AD3" s="119">
        <v>1.7999999999999999E-2</v>
      </c>
    </row>
    <row r="4" spans="2:30" s="78" customFormat="1">
      <c r="B4" s="78" t="s">
        <v>254</v>
      </c>
      <c r="C4" s="90" t="s">
        <v>128</v>
      </c>
      <c r="D4" s="119">
        <v>3.7455811701915476E-2</v>
      </c>
      <c r="E4" s="119">
        <v>4.306151617159526E-2</v>
      </c>
      <c r="F4" s="119">
        <v>3.303157719890204E-2</v>
      </c>
      <c r="G4" s="119">
        <v>2.1324173853674466E-2</v>
      </c>
      <c r="H4" s="119">
        <v>3.1353293138274951E-2</v>
      </c>
      <c r="I4" s="119">
        <v>4.517456886424509E-2</v>
      </c>
      <c r="J4" s="119">
        <v>4.517456886424509E-2</v>
      </c>
      <c r="K4" s="119">
        <v>6.0994785444116184E-2</v>
      </c>
      <c r="L4" s="119">
        <v>8.3470723655796775E-2</v>
      </c>
      <c r="M4" s="119">
        <v>0.10246394955255722</v>
      </c>
      <c r="N4" s="119">
        <v>0.10060982737443336</v>
      </c>
      <c r="O4" s="119">
        <v>0.10060982737443336</v>
      </c>
      <c r="P4" s="119">
        <v>0.11299412129585251</v>
      </c>
      <c r="Q4" s="119">
        <v>0.11886869625198027</v>
      </c>
      <c r="R4" s="119">
        <v>7.17E-2</v>
      </c>
      <c r="S4" s="119">
        <v>5.79E-2</v>
      </c>
      <c r="T4" s="119">
        <f>S4</f>
        <v>5.79E-2</v>
      </c>
      <c r="U4" s="119">
        <v>6.0199999999999997E-2</v>
      </c>
      <c r="V4" s="119">
        <v>4.1599999999999998E-2</v>
      </c>
      <c r="W4" s="119">
        <v>0.04</v>
      </c>
      <c r="X4" s="119">
        <v>0.04</v>
      </c>
      <c r="Y4" s="119">
        <v>0.04</v>
      </c>
      <c r="Z4" s="119">
        <v>0.04</v>
      </c>
      <c r="AA4" s="119">
        <v>0.04</v>
      </c>
      <c r="AB4" s="119">
        <v>0.04</v>
      </c>
      <c r="AC4" s="119">
        <v>0.04</v>
      </c>
      <c r="AD4" s="119">
        <v>0.04</v>
      </c>
    </row>
    <row r="5" spans="2:30" s="78" customFormat="1">
      <c r="B5" s="78" t="s">
        <v>255</v>
      </c>
      <c r="C5" s="90" t="s">
        <v>128</v>
      </c>
      <c r="D5" s="143">
        <v>0.17299999999999999</v>
      </c>
      <c r="E5" s="143">
        <v>0.14499999999999999</v>
      </c>
      <c r="F5" s="143">
        <v>0.125</v>
      </c>
      <c r="G5" s="143">
        <v>2.1000000000000001E-2</v>
      </c>
      <c r="H5" s="143">
        <v>-3.1E-2</v>
      </c>
      <c r="I5" s="143">
        <v>-1.9E-2</v>
      </c>
      <c r="J5" s="143">
        <v>-1.9E-2</v>
      </c>
      <c r="K5" s="143">
        <v>7.0000000000000001E-3</v>
      </c>
      <c r="L5" s="143">
        <v>0.182</v>
      </c>
      <c r="M5" s="143">
        <v>0.27700000000000002</v>
      </c>
      <c r="N5" s="143">
        <v>0.25</v>
      </c>
      <c r="O5" s="143">
        <v>0.25</v>
      </c>
      <c r="P5" s="143">
        <v>0.23</v>
      </c>
      <c r="Q5" s="143" t="s">
        <v>40</v>
      </c>
      <c r="R5" s="143" t="s">
        <v>40</v>
      </c>
      <c r="S5" s="143" t="s">
        <v>40</v>
      </c>
      <c r="T5" s="143" t="s">
        <v>40</v>
      </c>
      <c r="U5" s="138">
        <f>U6*U4</f>
        <v>0.10535</v>
      </c>
      <c r="V5" s="138">
        <f t="shared" ref="V5:AD5" si="0">V6*V4</f>
        <v>7.2800000000000004E-2</v>
      </c>
      <c r="W5" s="138">
        <f t="shared" si="0"/>
        <v>7.0000000000000007E-2</v>
      </c>
      <c r="X5" s="138">
        <f t="shared" si="0"/>
        <v>7.0000000000000007E-2</v>
      </c>
      <c r="Y5" s="138">
        <f t="shared" si="0"/>
        <v>7.0000000000000007E-2</v>
      </c>
      <c r="Z5" s="138">
        <f t="shared" si="0"/>
        <v>7.0000000000000007E-2</v>
      </c>
      <c r="AA5" s="138">
        <f t="shared" si="0"/>
        <v>7.0000000000000007E-2</v>
      </c>
      <c r="AB5" s="138">
        <f t="shared" si="0"/>
        <v>7.0000000000000007E-2</v>
      </c>
      <c r="AC5" s="138">
        <f t="shared" si="0"/>
        <v>7.0000000000000007E-2</v>
      </c>
      <c r="AD5" s="138">
        <f t="shared" si="0"/>
        <v>7.0000000000000007E-2</v>
      </c>
    </row>
    <row r="6" spans="2:30" s="78" customFormat="1">
      <c r="B6" s="77" t="s">
        <v>256</v>
      </c>
      <c r="C6" s="90"/>
      <c r="D6" s="149">
        <f>D5/D4</f>
        <v>4.6187758892207595</v>
      </c>
      <c r="E6" s="149">
        <f t="shared" ref="E6:P6" si="1">E5/E4</f>
        <v>3.3672757694408952</v>
      </c>
      <c r="F6" s="149">
        <f t="shared" si="1"/>
        <v>3.784257689159177</v>
      </c>
      <c r="G6" s="149">
        <f t="shared" si="1"/>
        <v>0.98479782354529033</v>
      </c>
      <c r="H6" s="149">
        <f t="shared" si="1"/>
        <v>-0.98873186504789623</v>
      </c>
      <c r="I6" s="149">
        <f t="shared" si="1"/>
        <v>-0.42059062161937266</v>
      </c>
      <c r="J6" s="149">
        <f t="shared" si="1"/>
        <v>-0.42059062161937266</v>
      </c>
      <c r="K6" s="149">
        <f t="shared" si="1"/>
        <v>0.11476390889862946</v>
      </c>
      <c r="L6" s="149">
        <f t="shared" si="1"/>
        <v>2.1804052011158128</v>
      </c>
      <c r="M6" s="149">
        <f t="shared" si="1"/>
        <v>2.7033898381783281</v>
      </c>
      <c r="N6" s="149">
        <f t="shared" si="1"/>
        <v>2.4848467244615229</v>
      </c>
      <c r="O6" s="149">
        <f t="shared" si="1"/>
        <v>2.4848467244615229</v>
      </c>
      <c r="P6" s="149">
        <f t="shared" si="1"/>
        <v>2.0355041250136456</v>
      </c>
      <c r="Q6" s="149" t="s">
        <v>40</v>
      </c>
      <c r="R6" s="149" t="s">
        <v>40</v>
      </c>
      <c r="S6" s="149" t="s">
        <v>40</v>
      </c>
      <c r="T6" s="149" t="s">
        <v>40</v>
      </c>
      <c r="U6" s="198">
        <v>1.75</v>
      </c>
      <c r="V6" s="198">
        <v>1.75</v>
      </c>
      <c r="W6" s="198">
        <v>1.75</v>
      </c>
      <c r="X6" s="198">
        <v>1.75</v>
      </c>
      <c r="Y6" s="198">
        <v>1.75</v>
      </c>
      <c r="Z6" s="198">
        <v>1.75</v>
      </c>
      <c r="AA6" s="198">
        <v>1.75</v>
      </c>
      <c r="AB6" s="198">
        <v>1.75</v>
      </c>
      <c r="AC6" s="198">
        <v>1.75</v>
      </c>
      <c r="AD6" s="198">
        <v>1.75</v>
      </c>
    </row>
    <row r="7" spans="2:30" s="78" customFormat="1">
      <c r="B7" s="78" t="s">
        <v>257</v>
      </c>
      <c r="C7" s="90" t="s">
        <v>128</v>
      </c>
      <c r="D7" s="119">
        <v>6.5796703296703299E-2</v>
      </c>
      <c r="E7" s="119">
        <v>6.0356164383561645E-2</v>
      </c>
      <c r="F7" s="119">
        <v>4.2774725274725277E-2</v>
      </c>
      <c r="G7" s="119">
        <v>3.1895604395604397E-2</v>
      </c>
      <c r="H7" s="119">
        <v>2.097826086956522E-2</v>
      </c>
      <c r="I7" s="119">
        <v>0.02</v>
      </c>
      <c r="J7" s="119">
        <v>2.8866120218579233E-2</v>
      </c>
      <c r="K7" s="119">
        <v>2.1166666666666667E-2</v>
      </c>
      <c r="L7" s="119">
        <v>3.3269230769230773E-2</v>
      </c>
      <c r="M7" s="119">
        <v>4.9565217391304345E-2</v>
      </c>
      <c r="N7" s="119">
        <v>7.6847826086956519E-2</v>
      </c>
      <c r="O7" s="119">
        <v>4.5376712328767124E-2</v>
      </c>
      <c r="P7" s="119">
        <v>0.10366666666666667</v>
      </c>
      <c r="Q7" s="119">
        <v>0.12458791208791208</v>
      </c>
      <c r="R7" s="119">
        <v>0.13565217391304349</v>
      </c>
      <c r="S7" s="119">
        <v>0.13750000000000001</v>
      </c>
      <c r="T7" s="119">
        <v>0.12547260273972602</v>
      </c>
      <c r="U7" s="119">
        <v>0.125</v>
      </c>
      <c r="V7" s="119">
        <v>0.1</v>
      </c>
      <c r="W7" s="119">
        <v>0.09</v>
      </c>
      <c r="X7" s="119">
        <v>0.09</v>
      </c>
      <c r="Y7" s="119">
        <f>X7</f>
        <v>0.09</v>
      </c>
      <c r="Z7" s="119">
        <f t="shared" ref="Z7:AD7" si="2">Y7</f>
        <v>0.09</v>
      </c>
      <c r="AA7" s="119">
        <f t="shared" si="2"/>
        <v>0.09</v>
      </c>
      <c r="AB7" s="119">
        <f t="shared" si="2"/>
        <v>0.09</v>
      </c>
      <c r="AC7" s="119">
        <f t="shared" si="2"/>
        <v>0.09</v>
      </c>
      <c r="AD7" s="119">
        <f t="shared" si="2"/>
        <v>0.09</v>
      </c>
    </row>
    <row r="8" spans="2:30" s="78" customFormat="1">
      <c r="B8" s="78" t="s">
        <v>258</v>
      </c>
      <c r="C8" s="90" t="s">
        <v>259</v>
      </c>
      <c r="D8" s="143">
        <v>0.11699999999999999</v>
      </c>
      <c r="E8" s="143">
        <v>0.111</v>
      </c>
      <c r="F8" s="143">
        <v>0.124</v>
      </c>
      <c r="G8" s="143">
        <v>0.13600000000000001</v>
      </c>
      <c r="H8" s="143">
        <v>0.14899999999999999</v>
      </c>
      <c r="I8" s="143">
        <v>0.14199999999999999</v>
      </c>
      <c r="J8" s="143">
        <v>0.14199999999999999</v>
      </c>
      <c r="K8" s="143">
        <v>0.14899999999999999</v>
      </c>
      <c r="L8" s="143">
        <v>0.14199999999999999</v>
      </c>
      <c r="M8" s="143">
        <v>0.126</v>
      </c>
      <c r="N8" s="143">
        <v>0.111</v>
      </c>
      <c r="O8" s="143">
        <v>0.111</v>
      </c>
      <c r="P8" s="143">
        <v>0.111</v>
      </c>
      <c r="Q8" s="143">
        <v>9.3000000000000013E-2</v>
      </c>
      <c r="R8" s="143">
        <v>8.6999999999999994E-2</v>
      </c>
      <c r="S8" s="143">
        <v>7.9000000000000001E-2</v>
      </c>
      <c r="T8" s="143">
        <v>7.9000000000000001E-2</v>
      </c>
      <c r="U8" s="138"/>
      <c r="V8" s="138"/>
      <c r="W8" s="138"/>
      <c r="X8" s="138"/>
      <c r="Y8" s="138"/>
      <c r="Z8" s="138"/>
      <c r="AA8" s="138"/>
      <c r="AB8" s="138"/>
      <c r="AC8" s="138"/>
      <c r="AD8" s="138"/>
    </row>
    <row r="9" spans="2:30" s="78" customFormat="1" hidden="1" outlineLevel="1">
      <c r="B9" s="199" t="s">
        <v>260</v>
      </c>
      <c r="C9" s="90" t="s">
        <v>128</v>
      </c>
      <c r="D9" s="143" t="s">
        <v>40</v>
      </c>
      <c r="E9" s="143" t="s">
        <v>40</v>
      </c>
      <c r="F9" s="143" t="s">
        <v>40</v>
      </c>
      <c r="G9" s="143">
        <f>(G8-F8)/F8</f>
        <v>9.6774193548387177E-2</v>
      </c>
      <c r="H9" s="143">
        <f>(H8-G8)/G8</f>
        <v>9.5588235294117516E-2</v>
      </c>
      <c r="I9" s="143">
        <f>(I8-H8)/H8</f>
        <v>-4.6979865771812124E-2</v>
      </c>
      <c r="J9" s="143" t="s">
        <v>40</v>
      </c>
      <c r="K9" s="143">
        <f>(K8-I8)/I8</f>
        <v>4.9295774647887369E-2</v>
      </c>
      <c r="L9" s="143">
        <f>(L8-K8)/K8</f>
        <v>-4.6979865771812124E-2</v>
      </c>
      <c r="M9" s="143">
        <f>(M8-L8)/L8</f>
        <v>-0.11267605633802809</v>
      </c>
      <c r="N9" s="143">
        <f>(N8-M8)/M8</f>
        <v>-0.11904761904761904</v>
      </c>
      <c r="O9" s="143" t="s">
        <v>40</v>
      </c>
      <c r="P9" s="143">
        <f>(P8-N8)/N8</f>
        <v>0</v>
      </c>
      <c r="Q9" s="143">
        <f>(Q8-P8)/P8</f>
        <v>-0.16216216216216206</v>
      </c>
      <c r="R9" s="143">
        <f>(R8-Q8)/Q8</f>
        <v>-6.4516129032258257E-2</v>
      </c>
      <c r="S9" s="143">
        <f>(S8-R8)/R8</f>
        <v>-9.1954022988505676E-2</v>
      </c>
      <c r="T9" s="143" t="s">
        <v>40</v>
      </c>
      <c r="U9" s="138"/>
      <c r="V9" s="138"/>
      <c r="W9" s="138"/>
      <c r="X9" s="138"/>
      <c r="Y9" s="138"/>
      <c r="Z9" s="138"/>
      <c r="AA9" s="138"/>
      <c r="AB9" s="138"/>
      <c r="AC9" s="138"/>
      <c r="AD9" s="138"/>
    </row>
    <row r="10" spans="2:30" s="78" customFormat="1" hidden="1" outlineLevel="1">
      <c r="B10" s="199" t="s">
        <v>261</v>
      </c>
      <c r="C10" s="90" t="s">
        <v>128</v>
      </c>
      <c r="D10" s="143" t="s">
        <v>40</v>
      </c>
      <c r="E10" s="143">
        <f>(E8-D8)/D8</f>
        <v>-5.1282051282051211E-2</v>
      </c>
      <c r="F10" s="143" t="s">
        <v>40</v>
      </c>
      <c r="G10" s="143" t="s">
        <v>40</v>
      </c>
      <c r="H10" s="143" t="s">
        <v>40</v>
      </c>
      <c r="I10" s="143" t="s">
        <v>40</v>
      </c>
      <c r="J10" s="143">
        <f t="shared" ref="J10:T10" si="3">(J8-E8)/E8</f>
        <v>0.27927927927927915</v>
      </c>
      <c r="K10" s="143">
        <f t="shared" si="3"/>
        <v>0.20161290322580641</v>
      </c>
      <c r="L10" s="143">
        <f t="shared" si="3"/>
        <v>4.4117647058823359E-2</v>
      </c>
      <c r="M10" s="143">
        <f t="shared" si="3"/>
        <v>-0.15436241610738249</v>
      </c>
      <c r="N10" s="143">
        <f t="shared" si="3"/>
        <v>-0.21830985915492951</v>
      </c>
      <c r="O10" s="143">
        <f t="shared" si="3"/>
        <v>-0.21830985915492951</v>
      </c>
      <c r="P10" s="143">
        <f t="shared" si="3"/>
        <v>-0.25503355704697983</v>
      </c>
      <c r="Q10" s="143">
        <f t="shared" si="3"/>
        <v>-0.34507042253521114</v>
      </c>
      <c r="R10" s="143">
        <f t="shared" si="3"/>
        <v>-0.30952380952380959</v>
      </c>
      <c r="S10" s="143">
        <f t="shared" si="3"/>
        <v>-0.28828828828828829</v>
      </c>
      <c r="T10" s="143">
        <f t="shared" si="3"/>
        <v>-0.28828828828828829</v>
      </c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</row>
    <row r="11" spans="2:30" collapsed="1">
      <c r="B11" s="28" t="s">
        <v>262</v>
      </c>
      <c r="C11" s="5" t="s">
        <v>142</v>
      </c>
      <c r="D11" s="200">
        <v>2859</v>
      </c>
      <c r="E11" s="200">
        <v>2869</v>
      </c>
      <c r="F11" s="200">
        <v>2903</v>
      </c>
      <c r="G11" s="200">
        <v>3028</v>
      </c>
      <c r="H11" s="200">
        <v>3062</v>
      </c>
      <c r="I11" s="200">
        <v>2941</v>
      </c>
      <c r="J11" s="200">
        <v>2941</v>
      </c>
      <c r="K11" s="200">
        <v>2916</v>
      </c>
      <c r="L11" s="200">
        <v>2835</v>
      </c>
      <c r="M11" s="200">
        <v>2722</v>
      </c>
      <c r="N11" s="200">
        <v>2624</v>
      </c>
      <c r="O11" s="200">
        <v>2624</v>
      </c>
      <c r="P11" s="200">
        <v>2664</v>
      </c>
      <c r="Q11" s="200">
        <v>2691</v>
      </c>
      <c r="R11" s="200">
        <v>2790</v>
      </c>
      <c r="S11" s="200">
        <v>2841</v>
      </c>
      <c r="T11" s="200">
        <v>2841</v>
      </c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</row>
    <row r="12" spans="2:30" hidden="1" outlineLevel="1">
      <c r="B12" s="199" t="s">
        <v>263</v>
      </c>
      <c r="C12" s="90" t="s">
        <v>128</v>
      </c>
      <c r="D12" s="138" t="s">
        <v>40</v>
      </c>
      <c r="E12" s="138" t="s">
        <v>40</v>
      </c>
      <c r="F12" s="138" t="s">
        <v>40</v>
      </c>
      <c r="G12" s="138">
        <f>(G11-F11)/F11</f>
        <v>4.3058904581467446E-2</v>
      </c>
      <c r="H12" s="138">
        <f>(H11-G11)/G11</f>
        <v>1.1228533685601057E-2</v>
      </c>
      <c r="I12" s="138">
        <f>(I11-H11)/H11</f>
        <v>-3.9516655780535599E-2</v>
      </c>
      <c r="J12" s="138" t="s">
        <v>40</v>
      </c>
      <c r="K12" s="138">
        <f>(K11-I11)/I11</f>
        <v>-8.5005100306018364E-3</v>
      </c>
      <c r="L12" s="138">
        <f>(L11-K11)/K11</f>
        <v>-2.7777777777777776E-2</v>
      </c>
      <c r="M12" s="138">
        <f>(M11-L11)/L11</f>
        <v>-3.9858906525573196E-2</v>
      </c>
      <c r="N12" s="138">
        <f>(N11-M11)/M11</f>
        <v>-3.6002939015429829E-2</v>
      </c>
      <c r="O12" s="138" t="s">
        <v>40</v>
      </c>
      <c r="P12" s="138">
        <f>(P11-N11)/N11</f>
        <v>1.524390243902439E-2</v>
      </c>
      <c r="Q12" s="138">
        <f>(Q11-P11)/P11</f>
        <v>1.0135135135135136E-2</v>
      </c>
      <c r="R12" s="138">
        <f>(R11-Q11)/Q11</f>
        <v>3.678929765886288E-2</v>
      </c>
      <c r="S12" s="138">
        <f>(S11-R11)/R11</f>
        <v>1.8279569892473119E-2</v>
      </c>
      <c r="T12" s="138" t="s">
        <v>40</v>
      </c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</row>
    <row r="13" spans="2:30" hidden="1" outlineLevel="1">
      <c r="B13" s="199" t="s">
        <v>264</v>
      </c>
      <c r="C13" s="90" t="s">
        <v>128</v>
      </c>
      <c r="D13" s="138" t="s">
        <v>40</v>
      </c>
      <c r="E13" s="138">
        <f>(E11-D11)/D11</f>
        <v>3.497726477789437E-3</v>
      </c>
      <c r="F13" s="138" t="s">
        <v>40</v>
      </c>
      <c r="G13" s="138" t="s">
        <v>40</v>
      </c>
      <c r="H13" s="138" t="s">
        <v>40</v>
      </c>
      <c r="I13" s="138" t="s">
        <v>40</v>
      </c>
      <c r="J13" s="138">
        <f t="shared" ref="J13:T13" si="4">(J11-E11)/E11</f>
        <v>2.5095852213314743E-2</v>
      </c>
      <c r="K13" s="138">
        <f t="shared" si="4"/>
        <v>4.4781260764726145E-3</v>
      </c>
      <c r="L13" s="138">
        <f t="shared" si="4"/>
        <v>-6.3738441215323641E-2</v>
      </c>
      <c r="M13" s="138">
        <f t="shared" si="4"/>
        <v>-0.11103853690398433</v>
      </c>
      <c r="N13" s="138">
        <f t="shared" si="4"/>
        <v>-0.10778646718803128</v>
      </c>
      <c r="O13" s="138">
        <f t="shared" si="4"/>
        <v>-0.10778646718803128</v>
      </c>
      <c r="P13" s="138">
        <f t="shared" si="4"/>
        <v>-8.6419753086419748E-2</v>
      </c>
      <c r="Q13" s="138">
        <f t="shared" si="4"/>
        <v>-5.0793650793650794E-2</v>
      </c>
      <c r="R13" s="138">
        <f t="shared" si="4"/>
        <v>2.4981631153563555E-2</v>
      </c>
      <c r="S13" s="138">
        <f t="shared" si="4"/>
        <v>8.2698170731707321E-2</v>
      </c>
      <c r="T13" s="138">
        <f t="shared" si="4"/>
        <v>8.2698170731707321E-2</v>
      </c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2:30" s="78" customFormat="1" hidden="1" outlineLevel="1">
      <c r="B14" s="164" t="s">
        <v>265</v>
      </c>
      <c r="C14" s="90"/>
      <c r="D14" s="201" t="s">
        <v>40</v>
      </c>
      <c r="E14" s="202">
        <f>E13/E4</f>
        <v>8.1226273219256698E-2</v>
      </c>
      <c r="F14" s="201" t="s">
        <v>40</v>
      </c>
      <c r="G14" s="201" t="s">
        <v>40</v>
      </c>
      <c r="H14" s="201" t="s">
        <v>40</v>
      </c>
      <c r="I14" s="201" t="s">
        <v>40</v>
      </c>
      <c r="J14" s="202">
        <f t="shared" ref="J14:T14" si="5">J13/J4</f>
        <v>0.55553053065610303</v>
      </c>
      <c r="K14" s="202">
        <f t="shared" si="5"/>
        <v>7.3418179010982867E-2</v>
      </c>
      <c r="L14" s="202">
        <f t="shared" si="5"/>
        <v>-0.76360235569728652</v>
      </c>
      <c r="M14" s="202">
        <f t="shared" si="5"/>
        <v>-1.0836839433661389</v>
      </c>
      <c r="N14" s="202">
        <f t="shared" si="5"/>
        <v>-1.0713313997338358</v>
      </c>
      <c r="O14" s="202">
        <f t="shared" si="5"/>
        <v>-1.0713313997338358</v>
      </c>
      <c r="P14" s="202">
        <f t="shared" si="5"/>
        <v>-0.7648163647394266</v>
      </c>
      <c r="Q14" s="202">
        <f t="shared" si="5"/>
        <v>-0.42730889119854892</v>
      </c>
      <c r="R14" s="202">
        <f t="shared" si="5"/>
        <v>0.34841884454063538</v>
      </c>
      <c r="S14" s="202">
        <f t="shared" si="5"/>
        <v>1.4282931041745652</v>
      </c>
      <c r="T14" s="202">
        <f t="shared" si="5"/>
        <v>1.4282931041745652</v>
      </c>
      <c r="U14" s="90"/>
      <c r="V14" s="90"/>
      <c r="W14" s="90"/>
      <c r="X14" s="90"/>
      <c r="Y14" s="90"/>
      <c r="Z14" s="90"/>
      <c r="AA14" s="90"/>
      <c r="AB14" s="90"/>
      <c r="AC14" s="90"/>
      <c r="AD14" s="90"/>
    </row>
    <row r="15" spans="2:30" collapsed="1">
      <c r="B15" s="199"/>
      <c r="C15" s="90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2:30">
      <c r="B16" s="195" t="s">
        <v>266</v>
      </c>
      <c r="C16" s="196" t="s">
        <v>267</v>
      </c>
      <c r="D16" s="6">
        <v>2018</v>
      </c>
      <c r="E16" s="6">
        <v>2019</v>
      </c>
      <c r="F16" s="8" t="s">
        <v>0</v>
      </c>
      <c r="G16" s="8" t="s">
        <v>1</v>
      </c>
      <c r="H16" s="8" t="s">
        <v>2</v>
      </c>
      <c r="I16" s="8" t="s">
        <v>3</v>
      </c>
      <c r="J16" s="6">
        <v>2020</v>
      </c>
      <c r="K16" s="8" t="s">
        <v>4</v>
      </c>
      <c r="L16" s="8" t="s">
        <v>5</v>
      </c>
      <c r="M16" s="8" t="s">
        <v>6</v>
      </c>
      <c r="N16" s="8" t="s">
        <v>7</v>
      </c>
      <c r="O16" s="6">
        <v>2021</v>
      </c>
      <c r="P16" s="8" t="s">
        <v>8</v>
      </c>
      <c r="Q16" s="8" t="s">
        <v>9</v>
      </c>
      <c r="R16" s="8" t="s">
        <v>10</v>
      </c>
      <c r="S16" s="8" t="s">
        <v>11</v>
      </c>
      <c r="T16" s="6">
        <v>2022</v>
      </c>
      <c r="U16" s="37">
        <v>2023</v>
      </c>
      <c r="V16" s="37">
        <v>2024</v>
      </c>
      <c r="W16" s="37">
        <v>2025</v>
      </c>
      <c r="X16" s="37">
        <v>2026</v>
      </c>
      <c r="Y16" s="37">
        <v>2027</v>
      </c>
      <c r="Z16" s="37">
        <v>2028</v>
      </c>
      <c r="AA16" s="37">
        <v>2029</v>
      </c>
      <c r="AB16" s="37">
        <v>2030</v>
      </c>
      <c r="AC16" s="37">
        <v>2031</v>
      </c>
      <c r="AD16" s="37">
        <v>2032</v>
      </c>
    </row>
    <row r="17" spans="2:30">
      <c r="B17" s="12" t="s">
        <v>268</v>
      </c>
      <c r="C17" s="5" t="s">
        <v>210</v>
      </c>
      <c r="D17" s="81">
        <v>47.044356999999998</v>
      </c>
      <c r="E17" s="81">
        <v>46.992767999999998</v>
      </c>
      <c r="F17" s="81">
        <v>47.007865000000002</v>
      </c>
      <c r="G17" s="81">
        <v>46.589787999999999</v>
      </c>
      <c r="H17" s="81">
        <v>46.913564999999998</v>
      </c>
      <c r="I17" s="81">
        <v>47.429620999999997</v>
      </c>
      <c r="J17" s="81">
        <v>47.429620999999997</v>
      </c>
      <c r="K17" s="81">
        <v>47.744157000000001</v>
      </c>
      <c r="L17" s="81">
        <v>48.085369</v>
      </c>
      <c r="M17" s="81">
        <v>48.475751000000002</v>
      </c>
      <c r="N17" s="81">
        <v>48.864986000000002</v>
      </c>
      <c r="O17" s="81">
        <v>48.864986000000002</v>
      </c>
      <c r="P17" s="81">
        <v>49.049345000000002</v>
      </c>
      <c r="Q17" s="81">
        <v>49.621586999999998</v>
      </c>
      <c r="R17" s="81">
        <v>50.059410999999997</v>
      </c>
      <c r="S17" s="81">
        <v>50.374768000000003</v>
      </c>
      <c r="T17" s="81">
        <v>50.374768000000003</v>
      </c>
      <c r="U17" s="81">
        <f t="shared" ref="U17:AD17" si="6">U18*U66</f>
        <v>50.818143530377412</v>
      </c>
      <c r="V17" s="81">
        <f t="shared" si="6"/>
        <v>51.265421448174997</v>
      </c>
      <c r="W17" s="81">
        <f t="shared" si="6"/>
        <v>51.716636100411328</v>
      </c>
      <c r="X17" s="81">
        <f t="shared" si="6"/>
        <v>52.171822136411642</v>
      </c>
      <c r="Y17" s="81">
        <f t="shared" si="6"/>
        <v>52.631014510468582</v>
      </c>
      <c r="Z17" s="81">
        <f t="shared" si="6"/>
        <v>53.094248484526382</v>
      </c>
      <c r="AA17" s="81">
        <f t="shared" si="6"/>
        <v>53.561559630888731</v>
      </c>
      <c r="AB17" s="81">
        <f t="shared" si="6"/>
        <v>54.032983834950301</v>
      </c>
      <c r="AC17" s="81">
        <f t="shared" si="6"/>
        <v>54.508557297952549</v>
      </c>
      <c r="AD17" s="81">
        <f t="shared" si="6"/>
        <v>54.988316539763595</v>
      </c>
    </row>
    <row r="18" spans="2:30" s="144" customFormat="1">
      <c r="B18" s="203" t="s">
        <v>269</v>
      </c>
      <c r="C18" s="138" t="s">
        <v>128</v>
      </c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>
        <f>T17/T66</f>
        <v>0.24247748466451005</v>
      </c>
      <c r="U18" s="145">
        <v>0.24247748466451005</v>
      </c>
      <c r="V18" s="145">
        <v>0.24247748466451005</v>
      </c>
      <c r="W18" s="145">
        <v>0.24247748466451005</v>
      </c>
      <c r="X18" s="145">
        <v>0.24247748466451005</v>
      </c>
      <c r="Y18" s="145">
        <v>0.24247748466451005</v>
      </c>
      <c r="Z18" s="145">
        <v>0.24247748466451005</v>
      </c>
      <c r="AA18" s="145">
        <v>0.24247748466451005</v>
      </c>
      <c r="AB18" s="145">
        <v>0.24247748466451005</v>
      </c>
      <c r="AC18" s="145">
        <v>0.24247748466451005</v>
      </c>
      <c r="AD18" s="145">
        <v>0.24247748466451005</v>
      </c>
    </row>
    <row r="19" spans="2:30" s="150" customFormat="1">
      <c r="B19" s="204" t="s">
        <v>270</v>
      </c>
      <c r="C19" s="151" t="s">
        <v>128</v>
      </c>
      <c r="D19" s="151" t="s">
        <v>40</v>
      </c>
      <c r="E19" s="151">
        <f>(E17-D17)/D17</f>
        <v>-1.0966033609514502E-3</v>
      </c>
      <c r="F19" s="151" t="s">
        <v>40</v>
      </c>
      <c r="G19" s="151" t="s">
        <v>40</v>
      </c>
      <c r="H19" s="151" t="s">
        <v>40</v>
      </c>
      <c r="I19" s="151" t="s">
        <v>40</v>
      </c>
      <c r="J19" s="151">
        <f t="shared" ref="J19:T19" si="7">(J17-E17)/E17</f>
        <v>9.2961751050714709E-3</v>
      </c>
      <c r="K19" s="151">
        <f t="shared" si="7"/>
        <v>1.5663166153153281E-2</v>
      </c>
      <c r="L19" s="151">
        <f t="shared" si="7"/>
        <v>3.2101047551450573E-2</v>
      </c>
      <c r="M19" s="151">
        <f t="shared" si="7"/>
        <v>3.3299238716989511E-2</v>
      </c>
      <c r="N19" s="151">
        <f t="shared" si="7"/>
        <v>3.0263050172802446E-2</v>
      </c>
      <c r="O19" s="151">
        <f t="shared" si="7"/>
        <v>3.0263050172802446E-2</v>
      </c>
      <c r="P19" s="151">
        <f t="shared" si="7"/>
        <v>2.7337125252834625E-2</v>
      </c>
      <c r="Q19" s="151">
        <f t="shared" si="7"/>
        <v>3.194772197755201E-2</v>
      </c>
      <c r="R19" s="151">
        <f t="shared" si="7"/>
        <v>3.2669117390259607E-2</v>
      </c>
      <c r="S19" s="151">
        <f t="shared" si="7"/>
        <v>3.0897010796237641E-2</v>
      </c>
      <c r="T19" s="151">
        <f t="shared" si="7"/>
        <v>3.0897010796237641E-2</v>
      </c>
      <c r="U19" s="151">
        <f t="shared" ref="U19:AD19" si="8">(U17-T17)/T17</f>
        <v>8.8015398974623394E-3</v>
      </c>
      <c r="V19" s="151">
        <f t="shared" si="8"/>
        <v>8.8015398974623533E-3</v>
      </c>
      <c r="W19" s="151">
        <f t="shared" si="8"/>
        <v>8.8015398974622839E-3</v>
      </c>
      <c r="X19" s="151">
        <f t="shared" si="8"/>
        <v>8.8015398974623741E-3</v>
      </c>
      <c r="Y19" s="151">
        <f t="shared" si="8"/>
        <v>8.8015398974624157E-3</v>
      </c>
      <c r="Z19" s="151">
        <f t="shared" si="8"/>
        <v>8.801539897462185E-3</v>
      </c>
      <c r="AA19" s="151">
        <f t="shared" si="8"/>
        <v>8.801539897462532E-3</v>
      </c>
      <c r="AB19" s="151">
        <f t="shared" si="8"/>
        <v>8.8015398974622423E-3</v>
      </c>
      <c r="AC19" s="151">
        <f t="shared" si="8"/>
        <v>8.8015398974622665E-3</v>
      </c>
      <c r="AD19" s="151">
        <f t="shared" si="8"/>
        <v>8.8015398974624157E-3</v>
      </c>
    </row>
    <row r="20" spans="2:30" s="206" customFormat="1" hidden="1" outlineLevel="1">
      <c r="B20" s="205" t="s">
        <v>271</v>
      </c>
      <c r="D20" s="121" t="s">
        <v>40</v>
      </c>
      <c r="E20" s="163">
        <f>E19/E10</f>
        <v>2.1383765538553309E-2</v>
      </c>
      <c r="F20" s="163" t="s">
        <v>40</v>
      </c>
      <c r="G20" s="163" t="s">
        <v>40</v>
      </c>
      <c r="H20" s="163" t="s">
        <v>40</v>
      </c>
      <c r="I20" s="163" t="s">
        <v>40</v>
      </c>
      <c r="J20" s="163">
        <f t="shared" ref="J20:T20" si="9">J19/J10</f>
        <v>3.3286304408481737E-2</v>
      </c>
      <c r="K20" s="163">
        <f t="shared" si="9"/>
        <v>7.7689304119640284E-2</v>
      </c>
      <c r="L20" s="163">
        <f t="shared" si="9"/>
        <v>0.72762374449954914</v>
      </c>
      <c r="M20" s="163">
        <f t="shared" si="9"/>
        <v>-0.2157211551665843</v>
      </c>
      <c r="N20" s="163">
        <f t="shared" si="9"/>
        <v>-0.13862429433993384</v>
      </c>
      <c r="O20" s="163">
        <f t="shared" si="9"/>
        <v>-0.13862429433993384</v>
      </c>
      <c r="P20" s="163">
        <f t="shared" si="9"/>
        <v>-0.10719030691243052</v>
      </c>
      <c r="Q20" s="163">
        <f t="shared" si="9"/>
        <v>-9.2583194302293614E-2</v>
      </c>
      <c r="R20" s="163">
        <f t="shared" si="9"/>
        <v>-0.10554637926083871</v>
      </c>
      <c r="S20" s="163">
        <f t="shared" si="9"/>
        <v>-0.10717400619944932</v>
      </c>
      <c r="T20" s="163">
        <f t="shared" si="9"/>
        <v>-0.10717400619944932</v>
      </c>
      <c r="U20" s="121" t="s">
        <v>40</v>
      </c>
      <c r="V20" s="121" t="s">
        <v>40</v>
      </c>
      <c r="W20" s="121" t="s">
        <v>40</v>
      </c>
      <c r="X20" s="121" t="s">
        <v>40</v>
      </c>
      <c r="Y20" s="121" t="s">
        <v>40</v>
      </c>
      <c r="Z20" s="121" t="s">
        <v>40</v>
      </c>
      <c r="AA20" s="121" t="s">
        <v>40</v>
      </c>
      <c r="AB20" s="121" t="s">
        <v>40</v>
      </c>
      <c r="AC20" s="121" t="s">
        <v>40</v>
      </c>
      <c r="AD20" s="121" t="s">
        <v>40</v>
      </c>
    </row>
    <row r="21" spans="2:30" s="77" customFormat="1" hidden="1" outlineLevel="1">
      <c r="B21" s="146" t="s">
        <v>272</v>
      </c>
      <c r="D21" s="121" t="s">
        <v>40</v>
      </c>
      <c r="E21" s="163">
        <f>E19/E13</f>
        <v>-0.31351890089601958</v>
      </c>
      <c r="F21" s="163"/>
      <c r="G21" s="163"/>
      <c r="H21" s="163"/>
      <c r="I21" s="163"/>
      <c r="J21" s="163">
        <f t="shared" ref="J21:T21" si="10">J19/J13</f>
        <v>0.37042675522847296</v>
      </c>
      <c r="K21" s="163">
        <f t="shared" si="10"/>
        <v>3.4977054878926133</v>
      </c>
      <c r="L21" s="163">
        <f t="shared" si="10"/>
        <v>-0.50363716054814689</v>
      </c>
      <c r="M21" s="163">
        <f t="shared" si="10"/>
        <v>-0.29988902632771142</v>
      </c>
      <c r="N21" s="163">
        <f t="shared" si="10"/>
        <v>-0.28076855065682016</v>
      </c>
      <c r="O21" s="163">
        <f t="shared" si="10"/>
        <v>-0.28076855065682016</v>
      </c>
      <c r="P21" s="163">
        <f t="shared" si="10"/>
        <v>-0.31632959221137213</v>
      </c>
      <c r="Q21" s="163">
        <f t="shared" si="10"/>
        <v>-0.62897077643305521</v>
      </c>
      <c r="R21" s="163">
        <f t="shared" si="10"/>
        <v>1.3077255520042155</v>
      </c>
      <c r="S21" s="163">
        <f t="shared" si="10"/>
        <v>0.37361178031948189</v>
      </c>
      <c r="T21" s="163">
        <f t="shared" si="10"/>
        <v>0.37361178031948189</v>
      </c>
      <c r="U21" s="90" t="s">
        <v>40</v>
      </c>
      <c r="V21" s="90" t="s">
        <v>40</v>
      </c>
      <c r="W21" s="90" t="s">
        <v>40</v>
      </c>
      <c r="X21" s="90" t="s">
        <v>40</v>
      </c>
      <c r="Y21" s="90" t="s">
        <v>40</v>
      </c>
      <c r="Z21" s="90" t="s">
        <v>40</v>
      </c>
      <c r="AA21" s="90" t="s">
        <v>40</v>
      </c>
      <c r="AB21" s="90" t="s">
        <v>40</v>
      </c>
      <c r="AC21" s="90" t="s">
        <v>40</v>
      </c>
      <c r="AD21" s="90" t="s">
        <v>40</v>
      </c>
    </row>
    <row r="22" spans="2:30" s="166" customFormat="1" collapsed="1">
      <c r="B22" s="204" t="s">
        <v>273</v>
      </c>
      <c r="C22" s="151" t="s">
        <v>128</v>
      </c>
      <c r="D22" s="151" t="s">
        <v>40</v>
      </c>
      <c r="E22" s="151" t="s">
        <v>40</v>
      </c>
      <c r="F22" s="151" t="s">
        <v>40</v>
      </c>
      <c r="G22" s="151">
        <f>(G17-F17)/F17</f>
        <v>-8.8937670323892357E-3</v>
      </c>
      <c r="H22" s="151">
        <f>(H17-G17)/G17</f>
        <v>6.949527222575037E-3</v>
      </c>
      <c r="I22" s="151">
        <f>(I17-H17)/H17</f>
        <v>1.1000144627678562E-2</v>
      </c>
      <c r="J22" s="151" t="s">
        <v>40</v>
      </c>
      <c r="K22" s="151">
        <f>(K17-I17)/I17</f>
        <v>6.6316363776131367E-3</v>
      </c>
      <c r="L22" s="151">
        <f>(L17-K17)/K17</f>
        <v>7.14667556073927E-3</v>
      </c>
      <c r="M22" s="151">
        <f>(M17-L17)/L17</f>
        <v>8.1185193774847078E-3</v>
      </c>
      <c r="N22" s="151">
        <f>(N17-M17)/M17</f>
        <v>8.0294784912151099E-3</v>
      </c>
      <c r="O22" s="151" t="s">
        <v>40</v>
      </c>
      <c r="P22" s="151">
        <f>(P17-N17)/N17</f>
        <v>3.7728241649347982E-3</v>
      </c>
      <c r="Q22" s="151">
        <f>(Q17-P17)/P17</f>
        <v>1.1666659361098414E-2</v>
      </c>
      <c r="R22" s="151">
        <f>(R17-Q17)/Q17</f>
        <v>8.8232567007580608E-3</v>
      </c>
      <c r="S22" s="151">
        <f>(S17-R17)/R17</f>
        <v>6.299654624382334E-3</v>
      </c>
      <c r="T22" s="151" t="s">
        <v>40</v>
      </c>
      <c r="U22" s="151" t="s">
        <v>40</v>
      </c>
      <c r="V22" s="151" t="s">
        <v>40</v>
      </c>
      <c r="W22" s="151" t="s">
        <v>40</v>
      </c>
      <c r="X22" s="151" t="s">
        <v>40</v>
      </c>
      <c r="Y22" s="151" t="s">
        <v>40</v>
      </c>
      <c r="Z22" s="151" t="s">
        <v>40</v>
      </c>
      <c r="AA22" s="151" t="s">
        <v>40</v>
      </c>
      <c r="AB22" s="151" t="s">
        <v>40</v>
      </c>
      <c r="AC22" s="151" t="s">
        <v>40</v>
      </c>
      <c r="AD22" s="151" t="s">
        <v>40</v>
      </c>
    </row>
    <row r="23" spans="2:30" s="208" customFormat="1" hidden="1" outlineLevel="1">
      <c r="B23" s="207" t="s">
        <v>271</v>
      </c>
      <c r="D23" s="163" t="s">
        <v>40</v>
      </c>
      <c r="E23" s="163" t="s">
        <v>40</v>
      </c>
      <c r="F23" s="163" t="s">
        <v>40</v>
      </c>
      <c r="G23" s="163">
        <f>G22/G9</f>
        <v>-9.1902259334688693E-2</v>
      </c>
      <c r="H23" s="163">
        <f>H22/H9</f>
        <v>7.2702746328477411E-2</v>
      </c>
      <c r="I23" s="163">
        <f>I22/I9</f>
        <v>-0.2341459356463006</v>
      </c>
      <c r="J23" s="163" t="s">
        <v>40</v>
      </c>
      <c r="K23" s="163">
        <f>K22/K9</f>
        <v>0.13452748080300922</v>
      </c>
      <c r="L23" s="163">
        <f>L22/L9</f>
        <v>-0.1521220940785929</v>
      </c>
      <c r="M23" s="163">
        <f>M22/M9</f>
        <v>-7.2051859475176838E-2</v>
      </c>
      <c r="N23" s="163">
        <f>N22/N9</f>
        <v>-6.7447619326206923E-2</v>
      </c>
      <c r="O23" s="163"/>
      <c r="P23" s="163" t="s">
        <v>40</v>
      </c>
      <c r="Q23" s="163">
        <f>Q22/Q9</f>
        <v>-7.1944399393440273E-2</v>
      </c>
      <c r="R23" s="163">
        <f>R22/R9</f>
        <v>-0.13676047886174952</v>
      </c>
      <c r="S23" s="163">
        <f>S22/S9</f>
        <v>-6.8508744040157929E-2</v>
      </c>
      <c r="T23" s="163" t="s">
        <v>40</v>
      </c>
      <c r="U23" s="163" t="s">
        <v>40</v>
      </c>
      <c r="V23" s="163" t="s">
        <v>40</v>
      </c>
      <c r="W23" s="163" t="s">
        <v>40</v>
      </c>
      <c r="X23" s="163" t="s">
        <v>40</v>
      </c>
      <c r="Y23" s="163" t="s">
        <v>40</v>
      </c>
      <c r="Z23" s="163" t="s">
        <v>40</v>
      </c>
      <c r="AA23" s="163" t="s">
        <v>40</v>
      </c>
      <c r="AB23" s="163" t="s">
        <v>40</v>
      </c>
      <c r="AC23" s="163" t="s">
        <v>40</v>
      </c>
      <c r="AD23" s="163" t="s">
        <v>40</v>
      </c>
    </row>
    <row r="24" spans="2:30" s="77" customFormat="1" hidden="1" outlineLevel="1">
      <c r="B24" s="146" t="s">
        <v>272</v>
      </c>
      <c r="D24" s="163" t="s">
        <v>40</v>
      </c>
      <c r="E24" s="163" t="s">
        <v>40</v>
      </c>
      <c r="F24" s="163" t="s">
        <v>40</v>
      </c>
      <c r="G24" s="163">
        <f>G22/G12</f>
        <v>-0.20654884556020761</v>
      </c>
      <c r="H24" s="163">
        <f>H22/H12</f>
        <v>0.61891671852815322</v>
      </c>
      <c r="I24" s="163">
        <f>I22/I12</f>
        <v>-0.27836729628059304</v>
      </c>
      <c r="J24" s="163" t="s">
        <v>40</v>
      </c>
      <c r="K24" s="163">
        <f>K22/K12</f>
        <v>-0.78014570346240941</v>
      </c>
      <c r="L24" s="163">
        <f>L22/L12</f>
        <v>-0.25728032018661373</v>
      </c>
      <c r="M24" s="163">
        <f>M22/M12</f>
        <v>-0.20368143747937295</v>
      </c>
      <c r="N24" s="163">
        <f>N22/N12</f>
        <v>-0.22302286176619929</v>
      </c>
      <c r="O24" s="163" t="s">
        <v>40</v>
      </c>
      <c r="P24" s="163">
        <f>P22/P12</f>
        <v>0.24749726521972276</v>
      </c>
      <c r="Q24" s="163">
        <f>Q22/Q12</f>
        <v>1.1511103902950435</v>
      </c>
      <c r="R24" s="163">
        <f>R22/R12</f>
        <v>0.23983215941151453</v>
      </c>
      <c r="S24" s="163">
        <f>S22/S12</f>
        <v>0.3446281647456218</v>
      </c>
      <c r="T24" s="163" t="s">
        <v>40</v>
      </c>
      <c r="U24" s="163" t="s">
        <v>40</v>
      </c>
      <c r="V24" s="163" t="s">
        <v>40</v>
      </c>
      <c r="W24" s="163" t="s">
        <v>40</v>
      </c>
      <c r="X24" s="163" t="s">
        <v>40</v>
      </c>
      <c r="Y24" s="163" t="s">
        <v>40</v>
      </c>
      <c r="Z24" s="163" t="s">
        <v>40</v>
      </c>
      <c r="AA24" s="163" t="s">
        <v>40</v>
      </c>
      <c r="AB24" s="163" t="s">
        <v>40</v>
      </c>
      <c r="AC24" s="163" t="s">
        <v>40</v>
      </c>
      <c r="AD24" s="163" t="s">
        <v>40</v>
      </c>
    </row>
    <row r="25" spans="2:30" collapsed="1"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2:30">
      <c r="B26" s="195" t="s">
        <v>274</v>
      </c>
      <c r="C26" s="196" t="s">
        <v>275</v>
      </c>
      <c r="D26" s="6">
        <v>2018</v>
      </c>
      <c r="E26" s="6">
        <v>2019</v>
      </c>
      <c r="F26" s="8" t="s">
        <v>0</v>
      </c>
      <c r="G26" s="8" t="s">
        <v>1</v>
      </c>
      <c r="H26" s="8" t="s">
        <v>2</v>
      </c>
      <c r="I26" s="8" t="s">
        <v>3</v>
      </c>
      <c r="J26" s="6">
        <v>2020</v>
      </c>
      <c r="K26" s="8" t="s">
        <v>4</v>
      </c>
      <c r="L26" s="8" t="s">
        <v>5</v>
      </c>
      <c r="M26" s="8" t="s">
        <v>6</v>
      </c>
      <c r="N26" s="8" t="s">
        <v>7</v>
      </c>
      <c r="O26" s="6">
        <v>2021</v>
      </c>
      <c r="P26" s="8" t="s">
        <v>8</v>
      </c>
      <c r="Q26" s="8" t="s">
        <v>9</v>
      </c>
      <c r="R26" s="8" t="s">
        <v>10</v>
      </c>
      <c r="S26" s="8" t="s">
        <v>11</v>
      </c>
      <c r="T26" s="6">
        <v>2022</v>
      </c>
      <c r="U26" s="37">
        <v>2023</v>
      </c>
      <c r="V26" s="37">
        <v>2024</v>
      </c>
      <c r="W26" s="37">
        <v>2025</v>
      </c>
      <c r="X26" s="37">
        <v>2026</v>
      </c>
      <c r="Y26" s="37">
        <v>2027</v>
      </c>
      <c r="Z26" s="37">
        <v>2028</v>
      </c>
      <c r="AA26" s="37">
        <v>2029</v>
      </c>
      <c r="AB26" s="37">
        <v>2030</v>
      </c>
      <c r="AC26" s="37">
        <v>2031</v>
      </c>
      <c r="AD26" s="37">
        <v>2032</v>
      </c>
    </row>
    <row r="27" spans="2:30">
      <c r="B27" s="12" t="s">
        <v>276</v>
      </c>
      <c r="C27" s="5" t="s">
        <v>210</v>
      </c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209">
        <v>33.679986</v>
      </c>
      <c r="V27" s="209">
        <v>34.879213999999997</v>
      </c>
      <c r="W27" s="209">
        <v>36.084074000000001</v>
      </c>
      <c r="X27" s="209">
        <v>37.294997000000002</v>
      </c>
      <c r="Y27" s="209">
        <v>38.513255999999998</v>
      </c>
      <c r="Z27" s="209">
        <v>39.730333000000002</v>
      </c>
      <c r="AA27" s="209">
        <v>40.935474999999997</v>
      </c>
      <c r="AB27" s="209">
        <v>42.122847</v>
      </c>
      <c r="AC27" s="209">
        <v>43.293393000000002</v>
      </c>
      <c r="AD27" s="209">
        <v>44.444105999999998</v>
      </c>
    </row>
    <row r="28" spans="2:30">
      <c r="B28" s="199" t="s">
        <v>277</v>
      </c>
      <c r="C28" s="90" t="s">
        <v>128</v>
      </c>
      <c r="D28" s="78"/>
      <c r="E28" s="78"/>
      <c r="F28" s="78"/>
      <c r="G28" s="78"/>
      <c r="H28" s="78"/>
      <c r="I28" s="78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51">
        <f t="shared" ref="U28:AD28" si="11">U27/U66</f>
        <v>0.16070320010675254</v>
      </c>
      <c r="V28" s="151">
        <f t="shared" si="11"/>
        <v>0.16497326733858814</v>
      </c>
      <c r="W28" s="151">
        <f t="shared" si="11"/>
        <v>0.1691829971883739</v>
      </c>
      <c r="X28" s="151">
        <f t="shared" si="11"/>
        <v>0.17333489023031537</v>
      </c>
      <c r="Y28" s="151">
        <f t="shared" si="11"/>
        <v>0.17743525425037845</v>
      </c>
      <c r="Z28" s="151">
        <f t="shared" si="11"/>
        <v>0.181445476406564</v>
      </c>
      <c r="AA28" s="151">
        <f t="shared" si="11"/>
        <v>0.18531818490630156</v>
      </c>
      <c r="AB28" s="151">
        <f t="shared" si="11"/>
        <v>0.18902976038982611</v>
      </c>
      <c r="AC28" s="151">
        <f t="shared" si="11"/>
        <v>0.19258761481890149</v>
      </c>
      <c r="AD28" s="151">
        <f t="shared" si="11"/>
        <v>0.19598154133796639</v>
      </c>
    </row>
    <row r="29" spans="2:30">
      <c r="B29" s="12"/>
      <c r="C29" s="5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193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2:30">
      <c r="B30" s="195" t="s">
        <v>278</v>
      </c>
      <c r="C30" s="196" t="s">
        <v>279</v>
      </c>
      <c r="D30" s="6">
        <v>2018</v>
      </c>
      <c r="E30" s="6">
        <v>2019</v>
      </c>
      <c r="F30" s="8" t="s">
        <v>0</v>
      </c>
      <c r="G30" s="8" t="s">
        <v>1</v>
      </c>
      <c r="H30" s="8" t="s">
        <v>2</v>
      </c>
      <c r="I30" s="8" t="s">
        <v>3</v>
      </c>
      <c r="J30" s="6">
        <v>2020</v>
      </c>
      <c r="K30" s="8" t="s">
        <v>4</v>
      </c>
      <c r="L30" s="8" t="s">
        <v>5</v>
      </c>
      <c r="M30" s="8" t="s">
        <v>6</v>
      </c>
      <c r="N30" s="8" t="s">
        <v>7</v>
      </c>
      <c r="O30" s="6">
        <v>2021</v>
      </c>
      <c r="P30" s="8" t="s">
        <v>8</v>
      </c>
      <c r="Q30" s="8" t="s">
        <v>9</v>
      </c>
      <c r="R30" s="8" t="s">
        <v>10</v>
      </c>
      <c r="S30" s="8" t="s">
        <v>11</v>
      </c>
      <c r="T30" s="6">
        <v>2022</v>
      </c>
      <c r="U30" s="37">
        <v>2023</v>
      </c>
      <c r="V30" s="37">
        <v>2024</v>
      </c>
      <c r="W30" s="37">
        <v>2025</v>
      </c>
      <c r="X30" s="37">
        <v>2026</v>
      </c>
      <c r="Y30" s="37">
        <v>2027</v>
      </c>
      <c r="Z30" s="37">
        <v>2028</v>
      </c>
      <c r="AA30" s="37">
        <v>2029</v>
      </c>
      <c r="AB30" s="37">
        <v>2030</v>
      </c>
      <c r="AC30" s="37">
        <v>2031</v>
      </c>
      <c r="AD30" s="37">
        <v>2032</v>
      </c>
    </row>
    <row r="31" spans="2:30">
      <c r="B31" t="s">
        <v>280</v>
      </c>
      <c r="C31" s="5" t="s">
        <v>210</v>
      </c>
      <c r="D31" s="10"/>
      <c r="E31" s="10"/>
      <c r="F31" s="10"/>
      <c r="G31" s="10"/>
      <c r="H31" s="10"/>
      <c r="I31" s="10"/>
      <c r="J31" s="123"/>
      <c r="K31" s="123"/>
      <c r="L31" s="123"/>
      <c r="M31" s="123"/>
      <c r="N31" s="123"/>
      <c r="O31" s="123">
        <f>E34+J34+O34</f>
        <v>1.8110059999999999</v>
      </c>
      <c r="P31" s="123"/>
      <c r="Q31" s="123"/>
      <c r="R31" s="123"/>
      <c r="S31" s="123"/>
      <c r="T31" s="210">
        <f>J34+O34+T34</f>
        <v>1.875</v>
      </c>
      <c r="U31" s="210">
        <f>U34+T34+O34</f>
        <v>1.95408</v>
      </c>
      <c r="V31" s="210">
        <f>V34+U34+T34</f>
        <v>2.051677304</v>
      </c>
      <c r="W31" s="210">
        <f t="shared" ref="W31:AD31" si="12">W34+V34+U34</f>
        <v>2.1682789170951997</v>
      </c>
      <c r="X31" s="210">
        <f t="shared" si="12"/>
        <v>2.2253046526148035</v>
      </c>
      <c r="Y31" s="210">
        <f t="shared" si="12"/>
        <v>2.2838301649785731</v>
      </c>
      <c r="Z31" s="210">
        <f t="shared" si="12"/>
        <v>2.3438948983175099</v>
      </c>
      <c r="AA31" s="210">
        <f t="shared" si="12"/>
        <v>2.4055393341432598</v>
      </c>
      <c r="AB31" s="210">
        <f t="shared" si="12"/>
        <v>2.4688050186312278</v>
      </c>
      <c r="AC31" s="210">
        <f t="shared" si="12"/>
        <v>2.5337345906212292</v>
      </c>
      <c r="AD31" s="210">
        <f t="shared" si="12"/>
        <v>2.600371810354567</v>
      </c>
    </row>
    <row r="32" spans="2:30">
      <c r="B32" s="77" t="s">
        <v>281</v>
      </c>
      <c r="C32" s="5" t="s">
        <v>210</v>
      </c>
      <c r="D32" s="10"/>
      <c r="E32" s="10"/>
      <c r="F32" s="10"/>
      <c r="G32" s="10"/>
      <c r="H32" s="10"/>
      <c r="I32" s="1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210">
        <f t="shared" ref="T32:AD32" si="13">T31*T18</f>
        <v>0.45464528374595636</v>
      </c>
      <c r="U32" s="210">
        <f t="shared" si="13"/>
        <v>0.47382040323322583</v>
      </c>
      <c r="V32" s="210">
        <f t="shared" si="13"/>
        <v>0.49748555201718331</v>
      </c>
      <c r="W32" s="210">
        <f t="shared" si="13"/>
        <v>0.52575881786833178</v>
      </c>
      <c r="X32" s="210">
        <f t="shared" si="13"/>
        <v>0.53958627477826893</v>
      </c>
      <c r="Y32" s="210">
        <f t="shared" si="13"/>
        <v>0.5537773938049374</v>
      </c>
      <c r="Z32" s="210">
        <f t="shared" si="13"/>
        <v>0.56834173926200737</v>
      </c>
      <c r="AA32" s="210">
        <f t="shared" si="13"/>
        <v>0.58328912700459801</v>
      </c>
      <c r="AB32" s="210">
        <f t="shared" si="13"/>
        <v>0.59862963104481903</v>
      </c>
      <c r="AC32" s="210">
        <f t="shared" si="13"/>
        <v>0.61437359034129779</v>
      </c>
      <c r="AD32" s="210">
        <f t="shared" si="13"/>
        <v>0.63053161576727379</v>
      </c>
    </row>
    <row r="33" spans="2:33" s="78" customFormat="1">
      <c r="B33" s="89" t="s">
        <v>282</v>
      </c>
      <c r="C33" s="90" t="s">
        <v>128</v>
      </c>
      <c r="D33" s="132"/>
      <c r="E33" s="132"/>
      <c r="F33" s="132"/>
      <c r="G33" s="132"/>
      <c r="H33" s="132"/>
      <c r="I33" s="132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211">
        <f t="shared" ref="T33:AD33" si="14">T32/T17</f>
        <v>9.025258116244949E-3</v>
      </c>
      <c r="U33" s="211">
        <f t="shared" si="14"/>
        <v>9.3238432244182948E-3</v>
      </c>
      <c r="V33" s="211">
        <f t="shared" si="14"/>
        <v>9.7041151318749824E-3</v>
      </c>
      <c r="W33" s="211">
        <f t="shared" si="14"/>
        <v>1.0166144929603226E-2</v>
      </c>
      <c r="X33" s="211">
        <f t="shared" si="14"/>
        <v>1.0342484749093746E-2</v>
      </c>
      <c r="Y33" s="211">
        <f t="shared" si="14"/>
        <v>1.0521883322138664E-2</v>
      </c>
      <c r="Z33" s="211">
        <f t="shared" si="14"/>
        <v>1.0704393705236135E-2</v>
      </c>
      <c r="AA33" s="211">
        <f t="shared" si="14"/>
        <v>1.0890069875191191E-2</v>
      </c>
      <c r="AB33" s="211">
        <f t="shared" si="14"/>
        <v>1.1078966745079249E-2</v>
      </c>
      <c r="AC33" s="211">
        <f t="shared" si="14"/>
        <v>1.1271140180486394E-2</v>
      </c>
      <c r="AD33" s="211">
        <f t="shared" si="14"/>
        <v>1.1466647016031463E-2</v>
      </c>
    </row>
    <row r="34" spans="2:33">
      <c r="B34" t="s">
        <v>283</v>
      </c>
      <c r="C34" s="5" t="s">
        <v>210</v>
      </c>
      <c r="D34" s="212"/>
      <c r="E34" s="212">
        <f>561006/1000000</f>
        <v>0.561006</v>
      </c>
      <c r="J34" s="212">
        <v>0.625</v>
      </c>
      <c r="K34" s="93"/>
      <c r="L34" s="93"/>
      <c r="M34" s="93"/>
      <c r="N34" s="93"/>
      <c r="O34" s="212">
        <f>625000/1000000</f>
        <v>0.625</v>
      </c>
      <c r="P34" s="93"/>
      <c r="Q34" s="93"/>
      <c r="R34" s="93"/>
      <c r="S34" s="93"/>
      <c r="T34" s="212">
        <f>625000/1000000</f>
        <v>0.625</v>
      </c>
      <c r="U34" s="212">
        <f>(704080)/1000000</f>
        <v>0.70408000000000004</v>
      </c>
      <c r="V34" s="213">
        <f>U34*(1+0.0263)</f>
        <v>0.722597304</v>
      </c>
      <c r="W34" s="213">
        <f>V34*(1+0.0263)</f>
        <v>0.74160161309520001</v>
      </c>
      <c r="X34" s="213">
        <f>W34*(1+0.0263)</f>
        <v>0.76110573551960381</v>
      </c>
      <c r="Y34" s="213">
        <f t="shared" ref="Y34:AD34" si="15">X34*(1+0.0263)</f>
        <v>0.78112281636376935</v>
      </c>
      <c r="Z34" s="213">
        <f t="shared" si="15"/>
        <v>0.80166634643413648</v>
      </c>
      <c r="AA34" s="213">
        <f t="shared" si="15"/>
        <v>0.82275017134535422</v>
      </c>
      <c r="AB34" s="213">
        <f t="shared" si="15"/>
        <v>0.844388500851737</v>
      </c>
      <c r="AC34" s="213">
        <f t="shared" si="15"/>
        <v>0.86659591842413763</v>
      </c>
      <c r="AD34" s="213">
        <f t="shared" si="15"/>
        <v>0.88938739107869247</v>
      </c>
      <c r="AF34" s="88"/>
      <c r="AG34" s="214"/>
    </row>
    <row r="35" spans="2:33" hidden="1" outlineLevel="2">
      <c r="B35" s="29" t="s">
        <v>284</v>
      </c>
      <c r="C35" s="5" t="s">
        <v>210</v>
      </c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136">
        <v>7.3609999999999995E-2</v>
      </c>
      <c r="V35" s="136">
        <v>7.3609999999999995E-2</v>
      </c>
      <c r="W35" s="136">
        <v>7.3609999999999995E-2</v>
      </c>
      <c r="X35" s="136"/>
      <c r="Y35" s="5"/>
      <c r="Z35" s="5"/>
      <c r="AA35" s="5"/>
      <c r="AB35" s="5"/>
      <c r="AC35" s="5"/>
      <c r="AD35" s="5"/>
    </row>
    <row r="36" spans="2:33" hidden="1" outlineLevel="2">
      <c r="B36" s="29" t="s">
        <v>285</v>
      </c>
      <c r="C36" s="5" t="s">
        <v>210</v>
      </c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136">
        <v>7.1730000000000002E-2</v>
      </c>
      <c r="V36" s="136">
        <v>7.1730000000000002E-2</v>
      </c>
      <c r="W36" s="136">
        <v>7.1730000000000002E-2</v>
      </c>
      <c r="Y36" s="5"/>
      <c r="Z36" s="5"/>
      <c r="AA36" s="5"/>
      <c r="AB36" s="5"/>
      <c r="AC36" s="5"/>
      <c r="AD36" s="5"/>
    </row>
    <row r="37" spans="2:33" hidden="1" outlineLevel="2">
      <c r="B37" s="29" t="s">
        <v>286</v>
      </c>
      <c r="C37" s="5" t="s">
        <v>210</v>
      </c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136">
        <v>4.5629999999999997E-2</v>
      </c>
      <c r="V37" s="136">
        <v>4.5629999999999997E-2</v>
      </c>
      <c r="W37" s="136">
        <v>4.5629999999999997E-2</v>
      </c>
      <c r="X37" s="5"/>
      <c r="Y37" s="5"/>
      <c r="Z37" s="5"/>
      <c r="AA37" s="5"/>
      <c r="AB37" s="5"/>
      <c r="AC37" s="5"/>
      <c r="AD37" s="5"/>
    </row>
    <row r="38" spans="2:33" hidden="1" outlineLevel="2">
      <c r="B38" s="29" t="s">
        <v>287</v>
      </c>
      <c r="C38" s="5" t="s">
        <v>210</v>
      </c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136">
        <v>3.2559999999999999E-2</v>
      </c>
      <c r="V38" s="136">
        <v>3.2559999999999999E-2</v>
      </c>
      <c r="W38" s="136">
        <v>3.2559999999999999E-2</v>
      </c>
      <c r="X38" s="5"/>
      <c r="Y38" s="5"/>
      <c r="Z38" s="5"/>
      <c r="AA38" s="5"/>
      <c r="AB38" s="5"/>
      <c r="AC38" s="5"/>
      <c r="AD38" s="5"/>
    </row>
    <row r="39" spans="2:33" hidden="1" outlineLevel="2">
      <c r="B39" s="29" t="s">
        <v>288</v>
      </c>
      <c r="C39" s="5" t="s">
        <v>210</v>
      </c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136">
        <v>2.1479999999999999E-2</v>
      </c>
      <c r="V39" s="136">
        <v>2.1479999999999999E-2</v>
      </c>
      <c r="W39" s="136">
        <v>2.1479999999999999E-2</v>
      </c>
      <c r="X39" s="5"/>
      <c r="Y39" s="5"/>
      <c r="Z39" s="5"/>
      <c r="AA39" s="5"/>
      <c r="AB39" s="5"/>
      <c r="AC39" s="5"/>
      <c r="AD39" s="5"/>
    </row>
    <row r="40" spans="2:33" hidden="1" outlineLevel="2">
      <c r="B40" s="29" t="s">
        <v>289</v>
      </c>
      <c r="C40" s="5" t="s">
        <v>210</v>
      </c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136">
        <v>1.7009999999999997E-2</v>
      </c>
      <c r="V40" s="136">
        <v>1.7009999999999997E-2</v>
      </c>
      <c r="W40" s="136">
        <v>1.7009999999999997E-2</v>
      </c>
      <c r="X40" s="5"/>
      <c r="Y40" s="5"/>
      <c r="Z40" s="5"/>
      <c r="AA40" s="5"/>
      <c r="AB40" s="5"/>
      <c r="AC40" s="5"/>
      <c r="AD40" s="5"/>
    </row>
    <row r="41" spans="2:33" hidden="1" outlineLevel="2">
      <c r="B41" s="29" t="s">
        <v>290</v>
      </c>
      <c r="C41" s="5" t="s">
        <v>210</v>
      </c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136">
        <v>1.6660000000000001E-2</v>
      </c>
      <c r="V41" s="136">
        <v>1.6660000000000001E-2</v>
      </c>
      <c r="W41" s="136">
        <v>1.6660000000000001E-2</v>
      </c>
      <c r="X41" s="5"/>
      <c r="Y41" s="5"/>
      <c r="Z41" s="5"/>
      <c r="AA41" s="5"/>
      <c r="AB41" s="5"/>
      <c r="AC41" s="5"/>
      <c r="AD41" s="5"/>
    </row>
    <row r="42" spans="2:33" hidden="1" outlineLevel="2">
      <c r="B42" s="29" t="s">
        <v>291</v>
      </c>
      <c r="C42" s="5" t="s">
        <v>210</v>
      </c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136">
        <v>1.5099999999999999E-2</v>
      </c>
      <c r="V42" s="136">
        <v>1.5099999999999999E-2</v>
      </c>
      <c r="W42" s="136">
        <v>1.5099999999999999E-2</v>
      </c>
      <c r="X42" s="5"/>
      <c r="Y42" s="5"/>
      <c r="Z42" s="5"/>
      <c r="AA42" s="5"/>
      <c r="AB42" s="5"/>
      <c r="AC42" s="5"/>
      <c r="AD42" s="5"/>
    </row>
    <row r="43" spans="2:33" hidden="1" outlineLevel="2">
      <c r="B43" s="29" t="s">
        <v>292</v>
      </c>
      <c r="C43" s="5" t="s">
        <v>210</v>
      </c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136">
        <v>1.2039999999999999E-2</v>
      </c>
      <c r="V43" s="136">
        <v>1.2039999999999999E-2</v>
      </c>
      <c r="W43" s="136">
        <v>1.2039999999999999E-2</v>
      </c>
      <c r="X43" s="5"/>
      <c r="Y43" s="5"/>
      <c r="Z43" s="5"/>
      <c r="AA43" s="5"/>
      <c r="AB43" s="5"/>
      <c r="AC43" s="5"/>
      <c r="AD43" s="5"/>
    </row>
    <row r="44" spans="2:33" hidden="1" outlineLevel="2">
      <c r="B44" s="29" t="s">
        <v>293</v>
      </c>
      <c r="C44" s="5" t="s">
        <v>210</v>
      </c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136">
        <v>1.154E-2</v>
      </c>
      <c r="V44" s="136">
        <v>1.154E-2</v>
      </c>
      <c r="W44" s="136">
        <v>1.154E-2</v>
      </c>
      <c r="X44" s="5"/>
      <c r="Y44" s="5"/>
      <c r="Z44" s="5"/>
      <c r="AA44" s="5"/>
      <c r="AB44" s="5"/>
      <c r="AC44" s="5"/>
      <c r="AD44" s="5"/>
    </row>
    <row r="45" spans="2:33" hidden="1" outlineLevel="2">
      <c r="B45" s="29" t="s">
        <v>294</v>
      </c>
      <c r="C45" s="5" t="s">
        <v>210</v>
      </c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136">
        <v>1.149E-2</v>
      </c>
      <c r="V45" s="136">
        <v>1.149E-2</v>
      </c>
      <c r="W45" s="136">
        <v>1.149E-2</v>
      </c>
      <c r="X45" s="5"/>
      <c r="Y45" s="5"/>
      <c r="Z45" s="5"/>
      <c r="AA45" s="5"/>
      <c r="AB45" s="5"/>
      <c r="AC45" s="5"/>
      <c r="AD45" s="5"/>
    </row>
    <row r="46" spans="2:33" hidden="1" outlineLevel="2">
      <c r="B46" s="29" t="s">
        <v>295</v>
      </c>
      <c r="C46" s="5" t="s">
        <v>210</v>
      </c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136">
        <v>1.137E-2</v>
      </c>
      <c r="V46" s="136">
        <v>1.137E-2</v>
      </c>
      <c r="W46" s="136">
        <v>1.137E-2</v>
      </c>
      <c r="X46" s="5"/>
      <c r="Y46" s="5"/>
      <c r="Z46" s="5"/>
      <c r="AA46" s="5"/>
      <c r="AB46" s="5"/>
      <c r="AC46" s="5"/>
      <c r="AD46" s="5"/>
    </row>
    <row r="47" spans="2:33" hidden="1" outlineLevel="2">
      <c r="B47" s="29" t="s">
        <v>296</v>
      </c>
      <c r="C47" s="5" t="s">
        <v>210</v>
      </c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136">
        <v>1.099E-2</v>
      </c>
      <c r="V47" s="136">
        <v>1.099E-2</v>
      </c>
      <c r="W47" s="136">
        <v>1.099E-2</v>
      </c>
      <c r="X47" s="5"/>
      <c r="Y47" s="5"/>
      <c r="Z47" s="5"/>
      <c r="AA47" s="5"/>
      <c r="AB47" s="5"/>
      <c r="AC47" s="5"/>
      <c r="AD47" s="5"/>
    </row>
    <row r="48" spans="2:33" hidden="1" outlineLevel="2">
      <c r="B48" s="29" t="s">
        <v>297</v>
      </c>
      <c r="C48" s="5" t="s">
        <v>210</v>
      </c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136">
        <v>1.098E-2</v>
      </c>
      <c r="V48" s="136">
        <v>1.098E-2</v>
      </c>
      <c r="W48" s="136">
        <v>1.098E-2</v>
      </c>
      <c r="X48" s="5"/>
      <c r="Y48" s="5"/>
      <c r="Z48" s="5"/>
      <c r="AA48" s="5"/>
      <c r="AB48" s="5"/>
      <c r="AC48" s="5"/>
      <c r="AD48" s="5"/>
    </row>
    <row r="49" spans="2:30" hidden="1" outlineLevel="2">
      <c r="B49" s="29" t="s">
        <v>298</v>
      </c>
      <c r="C49" s="5" t="s">
        <v>210</v>
      </c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136">
        <v>1.0700000000000001E-2</v>
      </c>
      <c r="V49" s="136">
        <v>1.0700000000000001E-2</v>
      </c>
      <c r="W49" s="136">
        <v>1.0700000000000001E-2</v>
      </c>
      <c r="X49" s="5"/>
      <c r="Y49" s="5"/>
      <c r="Z49" s="5"/>
      <c r="AA49" s="5"/>
      <c r="AB49" s="5"/>
      <c r="AC49" s="5"/>
      <c r="AD49" s="5"/>
    </row>
    <row r="50" spans="2:30" hidden="1" outlineLevel="2">
      <c r="B50" s="29" t="s">
        <v>299</v>
      </c>
      <c r="C50" s="5" t="s">
        <v>210</v>
      </c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136">
        <v>8.9800000000000001E-3</v>
      </c>
      <c r="V50" s="136">
        <v>8.9800000000000001E-3</v>
      </c>
      <c r="W50" s="136">
        <v>8.9800000000000001E-3</v>
      </c>
      <c r="X50" s="5"/>
      <c r="Y50" s="5"/>
      <c r="Z50" s="5"/>
      <c r="AA50" s="5"/>
      <c r="AB50" s="5"/>
      <c r="AC50" s="5"/>
      <c r="AD50" s="5"/>
    </row>
    <row r="51" spans="2:30" hidden="1" outlineLevel="2">
      <c r="B51" s="29" t="s">
        <v>300</v>
      </c>
      <c r="C51" s="5" t="s">
        <v>210</v>
      </c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136">
        <v>7.8399999999999997E-3</v>
      </c>
      <c r="V51" s="136">
        <v>7.8399999999999997E-3</v>
      </c>
      <c r="W51" s="136">
        <v>7.8399999999999997E-3</v>
      </c>
      <c r="X51" s="5"/>
      <c r="Y51" s="5"/>
      <c r="Z51" s="5"/>
      <c r="AA51" s="5"/>
      <c r="AB51" s="5"/>
      <c r="AC51" s="5"/>
      <c r="AD51" s="5"/>
    </row>
    <row r="52" spans="2:30" hidden="1" outlineLevel="2">
      <c r="B52" s="29" t="s">
        <v>301</v>
      </c>
      <c r="C52" s="5" t="s">
        <v>210</v>
      </c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136">
        <v>7.79E-3</v>
      </c>
      <c r="V52" s="136">
        <v>7.79E-3</v>
      </c>
      <c r="W52" s="136">
        <v>7.79E-3</v>
      </c>
      <c r="X52" s="5"/>
      <c r="Y52" s="5"/>
      <c r="Z52" s="5"/>
      <c r="AA52" s="5"/>
      <c r="AB52" s="5"/>
      <c r="AC52" s="5"/>
      <c r="AD52" s="5"/>
    </row>
    <row r="53" spans="2:30" hidden="1" outlineLevel="2">
      <c r="B53" s="29" t="s">
        <v>302</v>
      </c>
      <c r="C53" s="5" t="s">
        <v>210</v>
      </c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136">
        <v>7.3100000000000005E-3</v>
      </c>
      <c r="V53" s="136">
        <v>7.3100000000000005E-3</v>
      </c>
      <c r="W53" s="136">
        <v>7.3100000000000005E-3</v>
      </c>
      <c r="X53" s="5"/>
      <c r="Y53" s="5"/>
      <c r="Z53" s="5"/>
      <c r="AA53" s="5"/>
      <c r="AB53" s="5"/>
      <c r="AC53" s="5"/>
      <c r="AD53" s="5"/>
    </row>
    <row r="54" spans="2:30" hidden="1" outlineLevel="2">
      <c r="B54" s="29" t="s">
        <v>303</v>
      </c>
      <c r="C54" s="5" t="s">
        <v>210</v>
      </c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136">
        <v>3.0799999999999998E-3</v>
      </c>
      <c r="V54" s="136">
        <v>3.0799999999999998E-3</v>
      </c>
      <c r="W54" s="136">
        <v>3.0799999999999998E-3</v>
      </c>
      <c r="X54" s="5"/>
      <c r="Y54" s="5"/>
      <c r="Z54" s="5"/>
      <c r="AA54" s="5"/>
      <c r="AB54" s="5"/>
      <c r="AC54" s="5"/>
      <c r="AD54" s="5"/>
    </row>
    <row r="55" spans="2:30" hidden="1" outlineLevel="2">
      <c r="B55" s="29" t="s">
        <v>304</v>
      </c>
      <c r="C55" s="5" t="s">
        <v>210</v>
      </c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136">
        <v>7.5700000000000003E-2</v>
      </c>
      <c r="V55" s="136">
        <v>7.5700000000000003E-2</v>
      </c>
      <c r="W55" s="136">
        <v>7.5700000000000003E-2</v>
      </c>
      <c r="X55" s="5"/>
      <c r="Y55" s="5"/>
      <c r="Z55" s="5"/>
      <c r="AA55" s="5"/>
      <c r="AB55" s="5"/>
      <c r="AC55" s="5"/>
      <c r="AD55" s="5"/>
    </row>
    <row r="56" spans="2:30" hidden="1" outlineLevel="2">
      <c r="B56" s="29" t="s">
        <v>305</v>
      </c>
      <c r="C56" s="5" t="s">
        <v>210</v>
      </c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136">
        <v>0.22049000000000002</v>
      </c>
      <c r="V56" s="136">
        <v>0.22049000000000002</v>
      </c>
      <c r="W56" s="136">
        <v>0.22049000000000002</v>
      </c>
      <c r="X56" s="5"/>
      <c r="Y56" s="5"/>
      <c r="Z56" s="5"/>
      <c r="AA56" s="5"/>
      <c r="AB56" s="5"/>
      <c r="AC56" s="5"/>
      <c r="AD56" s="5"/>
    </row>
    <row r="57" spans="2:30" hidden="1" outlineLevel="2">
      <c r="B57" s="89" t="s">
        <v>145</v>
      </c>
      <c r="C57" s="112">
        <f>((((AD34-U34)/U34)+1)^(1/9))-1</f>
        <v>2.629999999999999E-2</v>
      </c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136"/>
      <c r="V57" s="136"/>
      <c r="W57" s="136"/>
      <c r="X57" s="5"/>
      <c r="Y57" s="5"/>
      <c r="Z57" s="5"/>
      <c r="AA57" s="5"/>
      <c r="AB57" s="5"/>
      <c r="AC57" s="5"/>
      <c r="AD57" s="5"/>
    </row>
    <row r="58" spans="2:30" collapsed="1">
      <c r="B58" t="s">
        <v>306</v>
      </c>
      <c r="C58" s="5" t="s">
        <v>210</v>
      </c>
      <c r="E58" s="212">
        <f>232040/1000000</f>
        <v>0.23204</v>
      </c>
      <c r="J58" s="212">
        <f>225830/1000000</f>
        <v>0.22583</v>
      </c>
      <c r="K58" s="93"/>
      <c r="L58" s="93"/>
      <c r="M58" s="93"/>
      <c r="N58" s="93"/>
      <c r="O58" s="136" t="s">
        <v>40</v>
      </c>
      <c r="P58" s="93"/>
      <c r="Q58" s="93"/>
      <c r="R58" s="93"/>
      <c r="S58" s="93"/>
      <c r="T58" s="136" t="s">
        <v>40</v>
      </c>
      <c r="U58" s="136" t="s">
        <v>40</v>
      </c>
      <c r="V58" s="136" t="s">
        <v>40</v>
      </c>
      <c r="W58" s="136" t="s">
        <v>40</v>
      </c>
      <c r="X58" s="136">
        <f t="shared" ref="X58:AD58" si="16">(120.05/100000)*X66</f>
        <v>0.25830139471060454</v>
      </c>
      <c r="Y58" s="136">
        <f t="shared" si="16"/>
        <v>0.2605748447417201</v>
      </c>
      <c r="Z58" s="136">
        <f t="shared" si="16"/>
        <v>0.26286830463398941</v>
      </c>
      <c r="AA58" s="136">
        <f t="shared" si="16"/>
        <v>0.26518195050500376</v>
      </c>
      <c r="AB58" s="136">
        <f t="shared" si="16"/>
        <v>0.26751596002246042</v>
      </c>
      <c r="AC58" s="136">
        <f t="shared" si="16"/>
        <v>0.26987051241780607</v>
      </c>
      <c r="AD58" s="136">
        <f t="shared" si="16"/>
        <v>0.27224578849999997</v>
      </c>
    </row>
    <row r="59" spans="2:30">
      <c r="B59" s="77" t="s">
        <v>307</v>
      </c>
      <c r="C59" s="90" t="s">
        <v>128</v>
      </c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51">
        <f t="shared" ref="T59:AD59" si="17">T31/T66</f>
        <v>9.025258116244949E-3</v>
      </c>
      <c r="U59" s="151">
        <f t="shared" si="17"/>
        <v>9.3238432244182948E-3</v>
      </c>
      <c r="V59" s="151">
        <f t="shared" si="17"/>
        <v>9.7041151318749842E-3</v>
      </c>
      <c r="W59" s="151">
        <f t="shared" si="17"/>
        <v>1.0166144929603224E-2</v>
      </c>
      <c r="X59" s="151">
        <f t="shared" si="17"/>
        <v>1.0342484749093746E-2</v>
      </c>
      <c r="Y59" s="151">
        <f t="shared" si="17"/>
        <v>1.0521883322138666E-2</v>
      </c>
      <c r="Z59" s="151">
        <f t="shared" si="17"/>
        <v>1.0704393705236133E-2</v>
      </c>
      <c r="AA59" s="151">
        <f t="shared" si="17"/>
        <v>1.0890069875191193E-2</v>
      </c>
      <c r="AB59" s="151">
        <f t="shared" si="17"/>
        <v>1.1078966745079249E-2</v>
      </c>
      <c r="AC59" s="151">
        <f t="shared" si="17"/>
        <v>1.1271140180486392E-2</v>
      </c>
      <c r="AD59" s="151">
        <f t="shared" si="17"/>
        <v>1.1466647016031463E-2</v>
      </c>
    </row>
    <row r="60" spans="2:30">
      <c r="B60" s="77" t="s">
        <v>308</v>
      </c>
      <c r="C60" s="90" t="s">
        <v>128</v>
      </c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51">
        <f>T34/T66</f>
        <v>3.0084193720816498E-3</v>
      </c>
      <c r="U60" s="151">
        <f t="shared" ref="U60:AD60" si="18">U34/U66</f>
        <v>3.3594998861092855E-3</v>
      </c>
      <c r="V60" s="151">
        <f t="shared" si="18"/>
        <v>3.4177730671033769E-3</v>
      </c>
      <c r="W60" s="151">
        <f t="shared" si="18"/>
        <v>3.4770570424830292E-3</v>
      </c>
      <c r="X60" s="151">
        <f t="shared" si="18"/>
        <v>3.5373693452758277E-3</v>
      </c>
      <c r="Y60" s="151">
        <f t="shared" si="18"/>
        <v>3.5987278126335797E-3</v>
      </c>
      <c r="Z60" s="151">
        <f t="shared" si="18"/>
        <v>3.6611505911075919E-3</v>
      </c>
      <c r="AA60" s="151">
        <f t="shared" si="18"/>
        <v>3.7246561420154439E-3</v>
      </c>
      <c r="AB60" s="151">
        <f t="shared" si="18"/>
        <v>3.7892632469008645E-3</v>
      </c>
      <c r="AC60" s="151">
        <f t="shared" si="18"/>
        <v>3.8549910130883016E-3</v>
      </c>
      <c r="AD60" s="151">
        <f t="shared" si="18"/>
        <v>3.9218588793338499E-3</v>
      </c>
    </row>
    <row r="61" spans="2:30" s="78" customFormat="1">
      <c r="B61" s="77" t="s">
        <v>309</v>
      </c>
      <c r="C61" s="90" t="s">
        <v>128</v>
      </c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3"/>
      <c r="V61" s="163"/>
      <c r="W61" s="163"/>
      <c r="X61" s="151">
        <f t="shared" ref="X61:AD61" si="19">X58/X31</f>
        <v>0.11607462124661996</v>
      </c>
      <c r="Y61" s="151">
        <f t="shared" si="19"/>
        <v>0.11409554385326408</v>
      </c>
      <c r="Z61" s="151">
        <f t="shared" si="19"/>
        <v>0.11215020981643889</v>
      </c>
      <c r="AA61" s="151">
        <f t="shared" si="19"/>
        <v>0.11023804381043269</v>
      </c>
      <c r="AB61" s="151">
        <f t="shared" si="19"/>
        <v>0.10835848031886232</v>
      </c>
      <c r="AC61" s="151">
        <f t="shared" si="19"/>
        <v>0.10651096346742393</v>
      </c>
      <c r="AD61" s="151">
        <f t="shared" si="19"/>
        <v>0.10469494685949492</v>
      </c>
    </row>
    <row r="62" spans="2:30">
      <c r="B62" s="77" t="s">
        <v>310</v>
      </c>
      <c r="C62" s="90"/>
      <c r="E62">
        <f>E34/E58</f>
        <v>2.4177124633683849</v>
      </c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5"/>
      <c r="V62" s="5"/>
      <c r="W62" s="5"/>
      <c r="X62" s="163">
        <f t="shared" ref="X62:AD62" si="20">X34/X58</f>
        <v>2.946580046044005</v>
      </c>
      <c r="Y62" s="163">
        <f t="shared" si="20"/>
        <v>2.9976908060254726</v>
      </c>
      <c r="Z62" s="163">
        <f t="shared" si="20"/>
        <v>3.0496881225386021</v>
      </c>
      <c r="AA62" s="163">
        <f t="shared" si="20"/>
        <v>3.1025873736072005</v>
      </c>
      <c r="AB62" s="163">
        <f t="shared" si="20"/>
        <v>3.1564042039990543</v>
      </c>
      <c r="AC62" s="163">
        <f t="shared" si="20"/>
        <v>3.2111545298528124</v>
      </c>
      <c r="AD62" s="163">
        <f t="shared" si="20"/>
        <v>3.2668545433851315</v>
      </c>
    </row>
    <row r="63" spans="2:30" s="104" customFormat="1">
      <c r="B63" s="104" t="s">
        <v>311</v>
      </c>
      <c r="C63" s="104" t="s">
        <v>201</v>
      </c>
      <c r="D63" s="104">
        <v>2356</v>
      </c>
      <c r="E63" s="104">
        <v>2390</v>
      </c>
      <c r="J63" s="104">
        <v>2176</v>
      </c>
      <c r="X63" s="215"/>
      <c r="Y63" s="215"/>
      <c r="Z63" s="215"/>
      <c r="AA63" s="215"/>
      <c r="AB63" s="215"/>
      <c r="AC63" s="215"/>
      <c r="AD63" s="215"/>
    </row>
    <row r="64" spans="2:30"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2:30">
      <c r="B65" s="195" t="s">
        <v>312</v>
      </c>
      <c r="C65" s="196" t="s">
        <v>313</v>
      </c>
      <c r="D65" s="6">
        <v>2018</v>
      </c>
      <c r="E65" s="6">
        <v>2019</v>
      </c>
      <c r="F65" s="8" t="s">
        <v>0</v>
      </c>
      <c r="G65" s="8" t="s">
        <v>1</v>
      </c>
      <c r="H65" s="8" t="s">
        <v>2</v>
      </c>
      <c r="I65" s="8" t="s">
        <v>3</v>
      </c>
      <c r="J65" s="6">
        <v>2020</v>
      </c>
      <c r="K65" s="8" t="s">
        <v>4</v>
      </c>
      <c r="L65" s="8" t="s">
        <v>5</v>
      </c>
      <c r="M65" s="8" t="s">
        <v>6</v>
      </c>
      <c r="N65" s="8" t="s">
        <v>7</v>
      </c>
      <c r="O65" s="6">
        <v>2021</v>
      </c>
      <c r="P65" s="8" t="s">
        <v>8</v>
      </c>
      <c r="Q65" s="8" t="s">
        <v>9</v>
      </c>
      <c r="R65" s="8" t="s">
        <v>10</v>
      </c>
      <c r="S65" s="8" t="s">
        <v>11</v>
      </c>
      <c r="T65" s="6">
        <v>2022</v>
      </c>
      <c r="U65" s="37">
        <v>2023</v>
      </c>
      <c r="V65" s="37">
        <v>2024</v>
      </c>
      <c r="W65" s="37">
        <v>2025</v>
      </c>
      <c r="X65" s="37">
        <v>2026</v>
      </c>
      <c r="Y65" s="37">
        <v>2027</v>
      </c>
      <c r="Z65" s="37">
        <v>2028</v>
      </c>
      <c r="AA65" s="37">
        <v>2029</v>
      </c>
      <c r="AB65" s="37">
        <v>2030</v>
      </c>
      <c r="AC65" s="37">
        <v>2031</v>
      </c>
      <c r="AD65" s="37">
        <v>2032</v>
      </c>
    </row>
    <row r="66" spans="2:30">
      <c r="B66" s="11" t="s">
        <v>314</v>
      </c>
      <c r="C66" s="1" t="s">
        <v>315</v>
      </c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3">
        <v>207.750291</v>
      </c>
      <c r="U66" s="94">
        <f>T66*(1+U67)</f>
        <v>209.57881347494592</v>
      </c>
      <c r="V66" s="94">
        <f t="shared" ref="V66:AC66" si="21">U66*(1+V67)</f>
        <v>211.42342976340848</v>
      </c>
      <c r="W66" s="94">
        <f t="shared" si="21"/>
        <v>213.28428151572945</v>
      </c>
      <c r="X66" s="94">
        <f t="shared" si="21"/>
        <v>215.16151162899172</v>
      </c>
      <c r="Y66" s="94">
        <f t="shared" si="21"/>
        <v>217.0552642579926</v>
      </c>
      <c r="Z66" s="94">
        <f t="shared" si="21"/>
        <v>218.96568482631355</v>
      </c>
      <c r="AA66" s="94">
        <f t="shared" si="21"/>
        <v>220.89292003748753</v>
      </c>
      <c r="AB66" s="94">
        <f t="shared" si="21"/>
        <v>222.83711788626442</v>
      </c>
      <c r="AC66" s="94">
        <f t="shared" si="21"/>
        <v>224.79842766997589</v>
      </c>
      <c r="AD66" s="113">
        <v>226.77699999999999</v>
      </c>
    </row>
    <row r="67" spans="2:30" s="199" customFormat="1">
      <c r="B67" s="199" t="s">
        <v>316</v>
      </c>
      <c r="C67" s="90" t="s">
        <v>128</v>
      </c>
      <c r="J67" s="216"/>
      <c r="K67" s="216"/>
      <c r="L67" s="216"/>
      <c r="M67" s="216"/>
      <c r="N67" s="216"/>
      <c r="O67" s="216"/>
      <c r="P67" s="216"/>
      <c r="Q67" s="216"/>
      <c r="R67" s="216"/>
      <c r="S67" s="216"/>
      <c r="T67" s="216"/>
      <c r="U67" s="140">
        <f>((1+(($AD$66-$T$66)/$T$66))^(1/10))-1</f>
        <v>8.8015398974623515E-3</v>
      </c>
      <c r="V67" s="140">
        <f t="shared" ref="V67:AD67" si="22">((1+(($AD$66-$T$66)/$T$66))^(1/10))-1</f>
        <v>8.8015398974623515E-3</v>
      </c>
      <c r="W67" s="140">
        <f t="shared" si="22"/>
        <v>8.8015398974623515E-3</v>
      </c>
      <c r="X67" s="140">
        <f t="shared" si="22"/>
        <v>8.8015398974623515E-3</v>
      </c>
      <c r="Y67" s="140">
        <f t="shared" si="22"/>
        <v>8.8015398974623515E-3</v>
      </c>
      <c r="Z67" s="140">
        <f t="shared" si="22"/>
        <v>8.8015398974623515E-3</v>
      </c>
      <c r="AA67" s="140">
        <f t="shared" si="22"/>
        <v>8.8015398974623515E-3</v>
      </c>
      <c r="AB67" s="140">
        <f t="shared" si="22"/>
        <v>8.8015398974623515E-3</v>
      </c>
      <c r="AC67" s="140">
        <f t="shared" si="22"/>
        <v>8.8015398974623515E-3</v>
      </c>
      <c r="AD67" s="140">
        <f t="shared" si="22"/>
        <v>8.8015398974623515E-3</v>
      </c>
    </row>
    <row r="68" spans="2:30" s="199" customFormat="1">
      <c r="C68" s="90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6"/>
      <c r="U68" s="90"/>
      <c r="V68" s="90"/>
      <c r="W68" s="90"/>
      <c r="X68" s="90"/>
      <c r="Y68" s="90"/>
      <c r="Z68" s="90"/>
      <c r="AA68" s="90"/>
      <c r="AB68" s="90"/>
      <c r="AC68" s="90"/>
      <c r="AD68" s="90"/>
    </row>
    <row r="69" spans="2:30">
      <c r="B69" s="217" t="s">
        <v>317</v>
      </c>
      <c r="C69" s="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2:30">
      <c r="B70" s="12"/>
      <c r="C70" s="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2:30">
      <c r="B71" s="218" t="s">
        <v>159</v>
      </c>
      <c r="C71" s="219"/>
      <c r="D71" s="38"/>
      <c r="E71" s="38"/>
      <c r="F71" s="38"/>
      <c r="G71" s="38"/>
      <c r="H71" s="38"/>
      <c r="I71" s="38"/>
      <c r="J71" s="220"/>
      <c r="K71" s="220"/>
      <c r="L71" s="220"/>
      <c r="M71" s="220"/>
      <c r="N71" s="220"/>
      <c r="O71" s="220"/>
      <c r="P71" s="220"/>
      <c r="Q71" s="220"/>
      <c r="R71" s="220"/>
      <c r="S71" s="220"/>
      <c r="T71" s="220"/>
      <c r="U71" s="221"/>
      <c r="V71" s="221"/>
      <c r="W71" s="221"/>
      <c r="X71" s="221"/>
      <c r="Y71" s="221"/>
      <c r="Z71" s="221"/>
      <c r="AA71" s="221"/>
      <c r="AB71" s="221"/>
      <c r="AC71" s="221"/>
      <c r="AD71" s="221"/>
    </row>
    <row r="72" spans="2:30">
      <c r="B72" s="29" t="s">
        <v>318</v>
      </c>
      <c r="C72" s="5" t="s">
        <v>315</v>
      </c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222">
        <v>17.834762000000001</v>
      </c>
      <c r="U72" s="93">
        <f>T72*(1+U67)</f>
        <v>17.991735369304745</v>
      </c>
      <c r="V72" s="93">
        <f t="shared" ref="V72:AD72" si="23">U72*(1+V67)</f>
        <v>18.150090345982264</v>
      </c>
      <c r="W72" s="93">
        <f t="shared" si="23"/>
        <v>18.309839090304973</v>
      </c>
      <c r="X72" s="93">
        <f t="shared" si="23"/>
        <v>18.470993869574407</v>
      </c>
      <c r="Y72" s="93">
        <f t="shared" si="23"/>
        <v>18.63356705906325</v>
      </c>
      <c r="Z72" s="93">
        <f t="shared" si="23"/>
        <v>18.797571142965634</v>
      </c>
      <c r="AA72" s="93">
        <f t="shared" si="23"/>
        <v>18.963018715355833</v>
      </c>
      <c r="AB72" s="93">
        <f t="shared" si="23"/>
        <v>19.129922481155361</v>
      </c>
      <c r="AC72" s="93">
        <f t="shared" si="23"/>
        <v>19.298295257108613</v>
      </c>
      <c r="AD72" s="93">
        <f t="shared" si="23"/>
        <v>19.468149972767062</v>
      </c>
    </row>
    <row r="73" spans="2:30">
      <c r="B73" s="29" t="s">
        <v>319</v>
      </c>
      <c r="C73" s="5" t="s">
        <v>315</v>
      </c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223">
        <f>25460/1000000</f>
        <v>2.546E-2</v>
      </c>
      <c r="V73" s="223">
        <f t="shared" ref="V73:W73" si="24">25460/1000000</f>
        <v>2.546E-2</v>
      </c>
      <c r="W73" s="223">
        <f t="shared" si="24"/>
        <v>2.546E-2</v>
      </c>
      <c r="X73" s="117">
        <f>(((X34-W34)/W34)+1)*W73</f>
        <v>2.6129598E-2</v>
      </c>
      <c r="Y73" s="117">
        <f t="shared" ref="Y73:AD73" si="25">(((Y34-X34)/X34)+1)*X73</f>
        <v>2.6816806427399999E-2</v>
      </c>
      <c r="Z73" s="117">
        <f t="shared" si="25"/>
        <v>2.752208843644062E-2</v>
      </c>
      <c r="AA73" s="117">
        <f t="shared" si="25"/>
        <v>2.8245919362319009E-2</v>
      </c>
      <c r="AB73" s="117">
        <f t="shared" si="25"/>
        <v>2.8988787041548E-2</v>
      </c>
      <c r="AC73" s="117">
        <f t="shared" si="25"/>
        <v>2.9751192140740713E-2</v>
      </c>
      <c r="AD73" s="117">
        <f t="shared" si="25"/>
        <v>3.0533648494042193E-2</v>
      </c>
    </row>
    <row r="74" spans="2:30">
      <c r="B74" s="22" t="s">
        <v>320</v>
      </c>
      <c r="C74" s="5" t="s">
        <v>315</v>
      </c>
      <c r="D74" s="223">
        <v>1.697638</v>
      </c>
      <c r="E74" s="223">
        <v>1.690048</v>
      </c>
      <c r="F74" s="223">
        <v>1.706782</v>
      </c>
      <c r="G74" s="223">
        <v>1.6987399999999999</v>
      </c>
      <c r="H74" s="223">
        <v>1.725814</v>
      </c>
      <c r="I74" s="223">
        <v>1.7655689999999999</v>
      </c>
      <c r="J74" s="223">
        <v>1.7655689999999999</v>
      </c>
      <c r="K74" s="223">
        <v>1.7804949999999999</v>
      </c>
      <c r="L74" s="223">
        <v>1.782405</v>
      </c>
      <c r="M74" s="223">
        <v>1.8083279999999999</v>
      </c>
      <c r="N74" s="223">
        <v>1.8237559999999999</v>
      </c>
      <c r="O74" s="223">
        <v>1.8237559999999999</v>
      </c>
      <c r="P74" s="223">
        <v>1.8147899999999999</v>
      </c>
      <c r="Q74" s="223">
        <v>1.80775</v>
      </c>
      <c r="R74" s="223">
        <v>1.84</v>
      </c>
      <c r="S74" s="223">
        <v>1.853416</v>
      </c>
      <c r="T74" s="223">
        <v>1.853416</v>
      </c>
      <c r="U74" s="81">
        <f>U75*U72</f>
        <v>1.8697289148705949</v>
      </c>
      <c r="V74" s="81">
        <f t="shared" ref="V74:AD74" si="26">V75*V72</f>
        <v>1.8861854085122673</v>
      </c>
      <c r="W74" s="81">
        <f t="shared" si="26"/>
        <v>1.9027867446392992</v>
      </c>
      <c r="X74" s="81">
        <f t="shared" si="26"/>
        <v>1.9195341980886045</v>
      </c>
      <c r="Y74" s="81">
        <f t="shared" si="26"/>
        <v>1.9364290549176248</v>
      </c>
      <c r="Z74" s="81">
        <f t="shared" si="26"/>
        <v>1.9534726125030875</v>
      </c>
      <c r="AA74" s="81">
        <f t="shared" si="26"/>
        <v>1.9706661796406335</v>
      </c>
      <c r="AB74" s="81">
        <f t="shared" si="26"/>
        <v>1.9880110766453201</v>
      </c>
      <c r="AC74" s="81">
        <f t="shared" si="26"/>
        <v>2.0055086354530109</v>
      </c>
      <c r="AD74" s="81">
        <f t="shared" si="26"/>
        <v>2.023160199722656</v>
      </c>
    </row>
    <row r="75" spans="2:30" s="78" customFormat="1" outlineLevel="1">
      <c r="B75" s="156" t="s">
        <v>321</v>
      </c>
      <c r="C75" s="90" t="s">
        <v>128</v>
      </c>
      <c r="D75" s="224"/>
      <c r="E75" s="224"/>
      <c r="F75" s="224"/>
      <c r="G75" s="224"/>
      <c r="H75" s="224"/>
      <c r="I75" s="224"/>
      <c r="J75" s="225"/>
      <c r="K75" s="225"/>
      <c r="L75" s="225"/>
      <c r="M75" s="225"/>
      <c r="N75" s="225"/>
      <c r="O75" s="225"/>
      <c r="P75" s="225"/>
      <c r="Q75" s="225"/>
      <c r="R75" s="225"/>
      <c r="S75" s="225"/>
      <c r="T75" s="225">
        <f>T74/T72</f>
        <v>0.10392154378062347</v>
      </c>
      <c r="U75" s="226">
        <v>0.10392154378062347</v>
      </c>
      <c r="V75" s="226">
        <v>0.10392154378062347</v>
      </c>
      <c r="W75" s="226">
        <v>0.10392154378062347</v>
      </c>
      <c r="X75" s="226">
        <v>0.10392154378062347</v>
      </c>
      <c r="Y75" s="226">
        <v>0.10392154378062347</v>
      </c>
      <c r="Z75" s="226">
        <v>0.10392154378062347</v>
      </c>
      <c r="AA75" s="226">
        <v>0.10392154378062347</v>
      </c>
      <c r="AB75" s="226">
        <v>0.10392154378062347</v>
      </c>
      <c r="AC75" s="226">
        <v>0.10392154378062347</v>
      </c>
      <c r="AD75" s="226">
        <v>0.10392154378062347</v>
      </c>
    </row>
    <row r="76" spans="2:30" outlineLevel="1">
      <c r="B76" s="22" t="s">
        <v>160</v>
      </c>
      <c r="C76" s="5" t="s">
        <v>315</v>
      </c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222">
        <v>2.7</v>
      </c>
      <c r="U76" s="81">
        <f>T76*(1+U$67)</f>
        <v>2.7237641577231484</v>
      </c>
      <c r="V76" s="81">
        <f t="shared" ref="V76:AD76" si="27">U76*(1+V$67)</f>
        <v>2.7477374766286267</v>
      </c>
      <c r="W76" s="81">
        <f t="shared" si="27"/>
        <v>2.7719217976569261</v>
      </c>
      <c r="X76" s="81">
        <f t="shared" si="27"/>
        <v>2.7963189779516493</v>
      </c>
      <c r="Y76" s="81">
        <f t="shared" si="27"/>
        <v>2.820930891002122</v>
      </c>
      <c r="Z76" s="81">
        <f t="shared" si="27"/>
        <v>2.8457594267872612</v>
      </c>
      <c r="AA76" s="81">
        <f t="shared" si="27"/>
        <v>2.870806491920709</v>
      </c>
      <c r="AB76" s="81">
        <f t="shared" si="27"/>
        <v>2.8960740097972431</v>
      </c>
      <c r="AC76" s="81">
        <f t="shared" si="27"/>
        <v>2.9215639207404771</v>
      </c>
      <c r="AD76" s="81">
        <f t="shared" si="27"/>
        <v>2.947278182151861</v>
      </c>
    </row>
    <row r="77" spans="2:30" outlineLevel="1">
      <c r="B77" s="22" t="s">
        <v>161</v>
      </c>
      <c r="C77" s="5" t="s">
        <v>315</v>
      </c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222">
        <v>2.5</v>
      </c>
      <c r="U77" s="81">
        <f t="shared" ref="U77:AD81" si="28">T77*(1+U$67)</f>
        <v>2.5220038497436557</v>
      </c>
      <c r="V77" s="81">
        <f t="shared" si="28"/>
        <v>2.544201367248728</v>
      </c>
      <c r="W77" s="81">
        <f t="shared" si="28"/>
        <v>2.5665942570897458</v>
      </c>
      <c r="X77" s="81">
        <f t="shared" si="28"/>
        <v>2.5891842388441191</v>
      </c>
      <c r="Y77" s="81">
        <f t="shared" si="28"/>
        <v>2.6119730472241862</v>
      </c>
      <c r="Z77" s="81">
        <f t="shared" si="28"/>
        <v>2.6349624322104264</v>
      </c>
      <c r="AA77" s="81">
        <f t="shared" si="28"/>
        <v>2.6581541591858411</v>
      </c>
      <c r="AB77" s="81">
        <f t="shared" si="28"/>
        <v>2.681550009071521</v>
      </c>
      <c r="AC77" s="81">
        <f t="shared" si="28"/>
        <v>2.7051517784634047</v>
      </c>
      <c r="AD77" s="81">
        <f t="shared" si="28"/>
        <v>2.7289612797702416</v>
      </c>
    </row>
    <row r="78" spans="2:30" outlineLevel="1">
      <c r="B78" s="22" t="s">
        <v>162</v>
      </c>
      <c r="C78" s="5" t="s">
        <v>315</v>
      </c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222">
        <v>0.64</v>
      </c>
      <c r="U78" s="81">
        <f t="shared" si="28"/>
        <v>0.64563298553437587</v>
      </c>
      <c r="V78" s="81">
        <f t="shared" si="28"/>
        <v>0.65131555001567443</v>
      </c>
      <c r="W78" s="81">
        <f t="shared" si="28"/>
        <v>0.65704812981497507</v>
      </c>
      <c r="X78" s="81">
        <f t="shared" si="28"/>
        <v>0.66283116514409457</v>
      </c>
      <c r="Y78" s="81">
        <f t="shared" si="28"/>
        <v>0.66866510008939173</v>
      </c>
      <c r="Z78" s="81">
        <f t="shared" si="28"/>
        <v>0.6745503826458692</v>
      </c>
      <c r="AA78" s="81">
        <f t="shared" si="28"/>
        <v>0.68048746475157529</v>
      </c>
      <c r="AB78" s="81">
        <f t="shared" si="28"/>
        <v>0.68647680232230923</v>
      </c>
      <c r="AC78" s="81">
        <f t="shared" si="28"/>
        <v>0.69251885528663137</v>
      </c>
      <c r="AD78" s="81">
        <f t="shared" si="28"/>
        <v>0.6986140876211816</v>
      </c>
    </row>
    <row r="79" spans="2:30" outlineLevel="1">
      <c r="B79" s="22" t="s">
        <v>163</v>
      </c>
      <c r="C79" s="5" t="s">
        <v>315</v>
      </c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222">
        <v>0.5</v>
      </c>
      <c r="U79" s="81">
        <f t="shared" si="28"/>
        <v>0.50440076994873118</v>
      </c>
      <c r="V79" s="81">
        <f t="shared" si="28"/>
        <v>0.50884027344974569</v>
      </c>
      <c r="W79" s="81">
        <f t="shared" si="28"/>
        <v>0.51331885141794931</v>
      </c>
      <c r="X79" s="81">
        <f t="shared" si="28"/>
        <v>0.51783684776882388</v>
      </c>
      <c r="Y79" s="81">
        <f t="shared" si="28"/>
        <v>0.52239460944483729</v>
      </c>
      <c r="Z79" s="81">
        <f t="shared" si="28"/>
        <v>0.5269924864420853</v>
      </c>
      <c r="AA79" s="81">
        <f t="shared" si="28"/>
        <v>0.53163083183716819</v>
      </c>
      <c r="AB79" s="81">
        <f t="shared" si="28"/>
        <v>0.5363100018143041</v>
      </c>
      <c r="AC79" s="81">
        <f t="shared" si="28"/>
        <v>0.54103035569268076</v>
      </c>
      <c r="AD79" s="81">
        <f t="shared" si="28"/>
        <v>0.54579225595404812</v>
      </c>
    </row>
    <row r="80" spans="2:30" outlineLevel="1">
      <c r="B80" s="22" t="s">
        <v>164</v>
      </c>
      <c r="C80" s="5" t="s">
        <v>315</v>
      </c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222">
        <v>0.34</v>
      </c>
      <c r="U80" s="81">
        <f t="shared" si="28"/>
        <v>0.34299252356513721</v>
      </c>
      <c r="V80" s="81">
        <f t="shared" si="28"/>
        <v>0.34601138594582703</v>
      </c>
      <c r="W80" s="81">
        <f t="shared" si="28"/>
        <v>0.34905681896420548</v>
      </c>
      <c r="X80" s="81">
        <f t="shared" si="28"/>
        <v>0.35212905648280024</v>
      </c>
      <c r="Y80" s="81">
        <f t="shared" si="28"/>
        <v>0.35522833442248936</v>
      </c>
      <c r="Z80" s="81">
        <f t="shared" si="28"/>
        <v>0.358354890780618</v>
      </c>
      <c r="AA80" s="81">
        <f t="shared" si="28"/>
        <v>0.36150896564927437</v>
      </c>
      <c r="AB80" s="81">
        <f t="shared" si="28"/>
        <v>0.36469080123372682</v>
      </c>
      <c r="AC80" s="81">
        <f t="shared" si="28"/>
        <v>0.367900641871023</v>
      </c>
      <c r="AD80" s="81">
        <f t="shared" si="28"/>
        <v>0.37113873404875281</v>
      </c>
    </row>
    <row r="81" spans="2:30" outlineLevel="1">
      <c r="B81" s="22" t="s">
        <v>165</v>
      </c>
      <c r="C81" s="5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>
        <f>T72-SUM(T76:T80)</f>
        <v>11.154762000000002</v>
      </c>
      <c r="U81" s="81">
        <f t="shared" si="28"/>
        <v>11.252941082789699</v>
      </c>
      <c r="V81" s="81">
        <f t="shared" si="28"/>
        <v>11.351984292693665</v>
      </c>
      <c r="W81" s="81">
        <f t="shared" si="28"/>
        <v>11.451899235361173</v>
      </c>
      <c r="X81" s="81">
        <f t="shared" si="28"/>
        <v>11.552693583382924</v>
      </c>
      <c r="Y81" s="81">
        <f t="shared" si="28"/>
        <v>11.654375076880227</v>
      </c>
      <c r="Z81" s="81">
        <f t="shared" si="28"/>
        <v>11.756951524099378</v>
      </c>
      <c r="AA81" s="81">
        <f t="shared" si="28"/>
        <v>11.860430802011269</v>
      </c>
      <c r="AB81" s="81">
        <f t="shared" si="28"/>
        <v>11.964820856916262</v>
      </c>
      <c r="AC81" s="81">
        <f t="shared" si="28"/>
        <v>12.0701297050544</v>
      </c>
      <c r="AD81" s="81">
        <f t="shared" si="28"/>
        <v>12.176365433220981</v>
      </c>
    </row>
    <row r="82" spans="2:30">
      <c r="B82" s="22"/>
      <c r="C82" s="5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5"/>
      <c r="V82" s="5"/>
      <c r="W82" s="5"/>
      <c r="X82" s="5"/>
      <c r="Y82" s="5"/>
      <c r="Z82" s="5"/>
      <c r="AA82" s="93"/>
      <c r="AB82" s="5"/>
      <c r="AC82" s="5"/>
      <c r="AD82" s="5"/>
    </row>
    <row r="83" spans="2:30">
      <c r="B83" s="218" t="s">
        <v>166</v>
      </c>
      <c r="C83" s="219"/>
      <c r="D83" s="38"/>
      <c r="E83" s="38"/>
      <c r="F83" s="38"/>
      <c r="G83" s="38"/>
      <c r="H83" s="38"/>
      <c r="I83" s="38"/>
      <c r="J83" s="220"/>
      <c r="K83" s="220"/>
      <c r="L83" s="220"/>
      <c r="M83" s="220"/>
      <c r="N83" s="220"/>
      <c r="O83" s="220"/>
      <c r="P83" s="220"/>
      <c r="Q83" s="220"/>
      <c r="R83" s="220"/>
      <c r="S83" s="220"/>
      <c r="T83" s="220"/>
      <c r="U83" s="221"/>
      <c r="V83" s="221"/>
      <c r="W83" s="221"/>
      <c r="X83" s="221"/>
      <c r="Y83" s="221"/>
      <c r="Z83" s="221"/>
      <c r="AA83" s="221"/>
      <c r="AB83" s="221"/>
      <c r="AC83" s="221"/>
      <c r="AD83" s="221"/>
    </row>
    <row r="84" spans="2:30">
      <c r="B84" s="29" t="s">
        <v>318</v>
      </c>
      <c r="C84" s="5" t="s">
        <v>315</v>
      </c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222">
        <v>55.389381999999998</v>
      </c>
      <c r="U84" s="93">
        <f>T84*(1+U67)</f>
        <v>55.876893855568781</v>
      </c>
      <c r="V84" s="93">
        <f t="shared" ref="V84:AD84" si="29">U84*(1+V67)</f>
        <v>56.368696566184838</v>
      </c>
      <c r="W84" s="93">
        <f t="shared" si="29"/>
        <v>56.864827897980064</v>
      </c>
      <c r="X84" s="93">
        <f t="shared" si="29"/>
        <v>57.365325949486468</v>
      </c>
      <c r="Y84" s="93">
        <f t="shared" si="29"/>
        <v>57.870229154561805</v>
      </c>
      <c r="Z84" s="93">
        <f t="shared" si="29"/>
        <v>58.379576285340967</v>
      </c>
      <c r="AA84" s="93">
        <f t="shared" si="29"/>
        <v>58.893406455213345</v>
      </c>
      <c r="AB84" s="93">
        <f t="shared" si="29"/>
        <v>59.411759121826371</v>
      </c>
      <c r="AC84" s="93">
        <f t="shared" si="29"/>
        <v>59.93467409011555</v>
      </c>
      <c r="AD84" s="93">
        <f t="shared" si="29"/>
        <v>60.462191515361106</v>
      </c>
    </row>
    <row r="85" spans="2:30">
      <c r="B85" s="29" t="s">
        <v>319</v>
      </c>
      <c r="C85" s="5" t="s">
        <v>315</v>
      </c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223">
        <f>152930/1000000</f>
        <v>0.15293000000000001</v>
      </c>
      <c r="V85" s="223">
        <f t="shared" ref="V85:W85" si="30">152930/1000000</f>
        <v>0.15293000000000001</v>
      </c>
      <c r="W85" s="223">
        <f t="shared" si="30"/>
        <v>0.15293000000000001</v>
      </c>
      <c r="X85" s="117">
        <f>(((X34-W34)/W34)+1)*W85</f>
        <v>0.156952059</v>
      </c>
      <c r="Y85" s="117">
        <f t="shared" ref="Y85:AD85" si="31">(((Y34-X34)/X34)+1)*X85</f>
        <v>0.16107989815170001</v>
      </c>
      <c r="Z85" s="117">
        <f t="shared" si="31"/>
        <v>0.16531629947308973</v>
      </c>
      <c r="AA85" s="117">
        <f t="shared" si="31"/>
        <v>0.16966411814923199</v>
      </c>
      <c r="AB85" s="117">
        <f t="shared" si="31"/>
        <v>0.17412628445655678</v>
      </c>
      <c r="AC85" s="117">
        <f t="shared" si="31"/>
        <v>0.17870580573776423</v>
      </c>
      <c r="AD85" s="117">
        <f t="shared" si="31"/>
        <v>0.18340576842866743</v>
      </c>
    </row>
    <row r="86" spans="2:30">
      <c r="B86" s="22" t="s">
        <v>320</v>
      </c>
      <c r="C86" s="5" t="s">
        <v>315</v>
      </c>
      <c r="D86" s="223">
        <v>6.6497869999999999</v>
      </c>
      <c r="E86" s="223">
        <v>6.5795779999999997</v>
      </c>
      <c r="F86" s="223">
        <v>6.5881360000000004</v>
      </c>
      <c r="G86" s="223">
        <v>6.5191129999999999</v>
      </c>
      <c r="H86" s="223">
        <v>6.5225280000000003</v>
      </c>
      <c r="I86" s="223">
        <v>6.5804039999999997</v>
      </c>
      <c r="J86" s="223">
        <v>6.5804039999999997</v>
      </c>
      <c r="K86" s="223">
        <v>6.63279</v>
      </c>
      <c r="L86" s="223">
        <v>6.698969</v>
      </c>
      <c r="M86" s="223">
        <v>6.7517430000000003</v>
      </c>
      <c r="N86" s="223">
        <v>6.8264930000000001</v>
      </c>
      <c r="O86" s="223">
        <v>6.8264930000000001</v>
      </c>
      <c r="P86" s="223">
        <v>6.8330830000000002</v>
      </c>
      <c r="Q86" s="223">
        <v>6.9504229999999998</v>
      </c>
      <c r="R86" s="223">
        <v>7.0120449999999996</v>
      </c>
      <c r="S86" s="223">
        <v>7.0540849999999997</v>
      </c>
      <c r="T86" s="223">
        <v>7.0540849999999997</v>
      </c>
      <c r="U86" s="81">
        <f>U87*U84</f>
        <v>7.1161718105675913</v>
      </c>
      <c r="V86" s="81">
        <f t="shared" ref="V86:AD86" si="32">V87*V84</f>
        <v>7.1788050806754988</v>
      </c>
      <c r="W86" s="81">
        <f t="shared" si="32"/>
        <v>7.2419896200091696</v>
      </c>
      <c r="X86" s="81">
        <f t="shared" si="32"/>
        <v>7.3057302805866886</v>
      </c>
      <c r="Y86" s="81">
        <f t="shared" si="32"/>
        <v>7.3700319571313715</v>
      </c>
      <c r="Z86" s="81">
        <f t="shared" si="32"/>
        <v>7.4348995874476351</v>
      </c>
      <c r="AA86" s="81">
        <f t="shared" si="32"/>
        <v>7.5003381528001825</v>
      </c>
      <c r="AB86" s="81">
        <f t="shared" si="32"/>
        <v>7.5663526782965125</v>
      </c>
      <c r="AC86" s="81">
        <f t="shared" si="32"/>
        <v>7.6329482332728098</v>
      </c>
      <c r="AD86" s="81">
        <f t="shared" si="32"/>
        <v>7.7001299316832252</v>
      </c>
    </row>
    <row r="87" spans="2:30" s="101" customFormat="1">
      <c r="B87" s="227" t="s">
        <v>321</v>
      </c>
      <c r="C87" s="100" t="s">
        <v>128</v>
      </c>
      <c r="D87" s="224"/>
      <c r="E87" s="224"/>
      <c r="F87" s="224"/>
      <c r="G87" s="224"/>
      <c r="H87" s="224"/>
      <c r="I87" s="224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>
        <f>T86/T84</f>
        <v>0.12735446299075878</v>
      </c>
      <c r="U87" s="226">
        <v>0.12735446299075878</v>
      </c>
      <c r="V87" s="226">
        <v>0.12735446299075878</v>
      </c>
      <c r="W87" s="226">
        <v>0.12735446299075878</v>
      </c>
      <c r="X87" s="226">
        <v>0.12735446299075878</v>
      </c>
      <c r="Y87" s="226">
        <v>0.12735446299075878</v>
      </c>
      <c r="Z87" s="226">
        <v>0.12735446299075878</v>
      </c>
      <c r="AA87" s="226">
        <v>0.12735446299075878</v>
      </c>
      <c r="AB87" s="226">
        <v>0.12735446299075878</v>
      </c>
      <c r="AC87" s="226">
        <v>0.12735446299075878</v>
      </c>
      <c r="AD87" s="226">
        <v>0.12735446299075878</v>
      </c>
    </row>
    <row r="88" spans="2:30" outlineLevel="1">
      <c r="B88" s="22" t="s">
        <v>167</v>
      </c>
      <c r="C88" s="5" t="s">
        <v>315</v>
      </c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222">
        <v>3.9</v>
      </c>
      <c r="U88" s="81">
        <f>T88*(1+U$67)</f>
        <v>3.934326005600103</v>
      </c>
      <c r="V88" s="81">
        <f t="shared" ref="V88:AD88" si="33">U88*(1+V$67)</f>
        <v>3.9689541329080162</v>
      </c>
      <c r="W88" s="81">
        <f t="shared" si="33"/>
        <v>4.003887041060004</v>
      </c>
      <c r="X88" s="81">
        <f t="shared" si="33"/>
        <v>4.0391274125968257</v>
      </c>
      <c r="Y88" s="81">
        <f t="shared" si="33"/>
        <v>4.0746779536697302</v>
      </c>
      <c r="Z88" s="81">
        <f t="shared" si="33"/>
        <v>4.1105413942482647</v>
      </c>
      <c r="AA88" s="81">
        <f t="shared" si="33"/>
        <v>4.1467204883299109</v>
      </c>
      <c r="AB88" s="81">
        <f t="shared" si="33"/>
        <v>4.1832180141515716</v>
      </c>
      <c r="AC88" s="81">
        <f t="shared" si="33"/>
        <v>4.2200367744029101</v>
      </c>
      <c r="AD88" s="81">
        <f t="shared" si="33"/>
        <v>4.257179596441576</v>
      </c>
    </row>
    <row r="89" spans="2:30" outlineLevel="1">
      <c r="B89" s="22" t="s">
        <v>168</v>
      </c>
      <c r="C89" s="5" t="s">
        <v>315</v>
      </c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222">
        <v>4.0999999999999996</v>
      </c>
      <c r="U89" s="81">
        <f t="shared" ref="U89:AD95" si="34">T89*(1+U$67)</f>
        <v>4.1360863135795949</v>
      </c>
      <c r="V89" s="81">
        <f t="shared" si="34"/>
        <v>4.172490242287914</v>
      </c>
      <c r="W89" s="81">
        <f t="shared" si="34"/>
        <v>4.2092145816271831</v>
      </c>
      <c r="X89" s="81">
        <f t="shared" si="34"/>
        <v>4.2462621517043546</v>
      </c>
      <c r="Y89" s="81">
        <f t="shared" si="34"/>
        <v>4.2836357974476647</v>
      </c>
      <c r="Z89" s="81">
        <f t="shared" si="34"/>
        <v>4.3213383888250982</v>
      </c>
      <c r="AA89" s="81">
        <f t="shared" si="34"/>
        <v>4.3593728210647784</v>
      </c>
      <c r="AB89" s="81">
        <f t="shared" si="34"/>
        <v>4.3977420148772932</v>
      </c>
      <c r="AC89" s="81">
        <f t="shared" si="34"/>
        <v>4.4364489166799821</v>
      </c>
      <c r="AD89" s="81">
        <f t="shared" si="34"/>
        <v>4.4754964988231949</v>
      </c>
    </row>
    <row r="90" spans="2:30" outlineLevel="1">
      <c r="B90" s="22" t="s">
        <v>169</v>
      </c>
      <c r="C90" s="5" t="s">
        <v>315</v>
      </c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222">
        <v>4.05</v>
      </c>
      <c r="U90" s="81">
        <f t="shared" si="34"/>
        <v>4.0856462365847221</v>
      </c>
      <c r="V90" s="81">
        <f t="shared" si="34"/>
        <v>4.1216062149429398</v>
      </c>
      <c r="W90" s="81">
        <f t="shared" si="34"/>
        <v>4.1578826964853892</v>
      </c>
      <c r="X90" s="81">
        <f t="shared" si="34"/>
        <v>4.1944784669274737</v>
      </c>
      <c r="Y90" s="81">
        <f t="shared" si="34"/>
        <v>4.2313963365031828</v>
      </c>
      <c r="Z90" s="81">
        <f t="shared" si="34"/>
        <v>4.2686391401808912</v>
      </c>
      <c r="AA90" s="81">
        <f t="shared" si="34"/>
        <v>4.3062097378810629</v>
      </c>
      <c r="AB90" s="81">
        <f t="shared" si="34"/>
        <v>4.3441110146958639</v>
      </c>
      <c r="AC90" s="81">
        <f t="shared" si="34"/>
        <v>4.382345881110715</v>
      </c>
      <c r="AD90" s="81">
        <f t="shared" si="34"/>
        <v>4.4209172732277908</v>
      </c>
    </row>
    <row r="91" spans="2:30" outlineLevel="1">
      <c r="B91" s="22" t="s">
        <v>170</v>
      </c>
      <c r="C91" s="5" t="s">
        <v>315</v>
      </c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222">
        <v>1.6</v>
      </c>
      <c r="U91" s="81">
        <f t="shared" si="34"/>
        <v>1.6140824638359399</v>
      </c>
      <c r="V91" s="81">
        <f t="shared" si="34"/>
        <v>1.6282888750391862</v>
      </c>
      <c r="W91" s="81">
        <f t="shared" si="34"/>
        <v>1.6426203245374376</v>
      </c>
      <c r="X91" s="81">
        <f t="shared" si="34"/>
        <v>1.6570779128602364</v>
      </c>
      <c r="Y91" s="81">
        <f t="shared" si="34"/>
        <v>1.6716627502234795</v>
      </c>
      <c r="Z91" s="81">
        <f t="shared" si="34"/>
        <v>1.6863759566146732</v>
      </c>
      <c r="AA91" s="81">
        <f t="shared" si="34"/>
        <v>1.7012186618789384</v>
      </c>
      <c r="AB91" s="81">
        <f t="shared" si="34"/>
        <v>1.7161920058057734</v>
      </c>
      <c r="AC91" s="81">
        <f t="shared" si="34"/>
        <v>1.7312971382165787</v>
      </c>
      <c r="AD91" s="81">
        <f t="shared" si="34"/>
        <v>1.7465352190529544</v>
      </c>
    </row>
    <row r="92" spans="2:30" outlineLevel="1">
      <c r="B92" s="22" t="s">
        <v>171</v>
      </c>
      <c r="C92" s="5" t="s">
        <v>315</v>
      </c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222">
        <v>1.35</v>
      </c>
      <c r="U92" s="81">
        <f t="shared" si="34"/>
        <v>1.3618820788615742</v>
      </c>
      <c r="V92" s="81">
        <f t="shared" si="34"/>
        <v>1.3738687383143133</v>
      </c>
      <c r="W92" s="81">
        <f t="shared" si="34"/>
        <v>1.3859608988284631</v>
      </c>
      <c r="X92" s="81">
        <f t="shared" si="34"/>
        <v>1.3981594889758246</v>
      </c>
      <c r="Y92" s="81">
        <f t="shared" si="34"/>
        <v>1.410465445501061</v>
      </c>
      <c r="Z92" s="81">
        <f t="shared" si="34"/>
        <v>1.4228797133936306</v>
      </c>
      <c r="AA92" s="81">
        <f t="shared" si="34"/>
        <v>1.4354032459603545</v>
      </c>
      <c r="AB92" s="81">
        <f t="shared" si="34"/>
        <v>1.4480370048986215</v>
      </c>
      <c r="AC92" s="81">
        <f t="shared" si="34"/>
        <v>1.4607819603702386</v>
      </c>
      <c r="AD92" s="81">
        <f t="shared" si="34"/>
        <v>1.4736390910759305</v>
      </c>
    </row>
    <row r="93" spans="2:30" outlineLevel="1">
      <c r="B93" s="22" t="s">
        <v>172</v>
      </c>
      <c r="C93" s="5" t="s">
        <v>315</v>
      </c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222">
        <v>1.29</v>
      </c>
      <c r="U93" s="81">
        <f t="shared" si="34"/>
        <v>1.3013539864677264</v>
      </c>
      <c r="V93" s="81">
        <f t="shared" si="34"/>
        <v>1.3128079055003437</v>
      </c>
      <c r="W93" s="81">
        <f t="shared" si="34"/>
        <v>1.324362636658309</v>
      </c>
      <c r="X93" s="81">
        <f t="shared" si="34"/>
        <v>1.3360190672435655</v>
      </c>
      <c r="Y93" s="81">
        <f t="shared" si="34"/>
        <v>1.3477780923676801</v>
      </c>
      <c r="Z93" s="81">
        <f t="shared" si="34"/>
        <v>1.35964061502058</v>
      </c>
      <c r="AA93" s="81">
        <f t="shared" si="34"/>
        <v>1.3716075461398938</v>
      </c>
      <c r="AB93" s="81">
        <f t="shared" si="34"/>
        <v>1.3836798046809045</v>
      </c>
      <c r="AC93" s="81">
        <f t="shared" si="34"/>
        <v>1.3958583176871164</v>
      </c>
      <c r="AD93" s="81">
        <f t="shared" si="34"/>
        <v>1.4081440203614444</v>
      </c>
    </row>
    <row r="94" spans="2:30" outlineLevel="1">
      <c r="B94" s="22" t="s">
        <v>173</v>
      </c>
      <c r="C94" s="5" t="s">
        <v>315</v>
      </c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222">
        <v>1.06</v>
      </c>
      <c r="U94" s="81">
        <f t="shared" si="34"/>
        <v>1.0693296322913102</v>
      </c>
      <c r="V94" s="81">
        <f t="shared" si="34"/>
        <v>1.0787413797134608</v>
      </c>
      <c r="W94" s="81">
        <f t="shared" si="34"/>
        <v>1.0882359650060525</v>
      </c>
      <c r="X94" s="81">
        <f t="shared" si="34"/>
        <v>1.0978141172699067</v>
      </c>
      <c r="Y94" s="81">
        <f t="shared" si="34"/>
        <v>1.1074765720230553</v>
      </c>
      <c r="Z94" s="81">
        <f t="shared" si="34"/>
        <v>1.117224071257221</v>
      </c>
      <c r="AA94" s="81">
        <f t="shared" si="34"/>
        <v>1.1270573634947967</v>
      </c>
      <c r="AB94" s="81">
        <f t="shared" si="34"/>
        <v>1.1369772038463248</v>
      </c>
      <c r="AC94" s="81">
        <f t="shared" si="34"/>
        <v>1.1469843540684834</v>
      </c>
      <c r="AD94" s="81">
        <f t="shared" si="34"/>
        <v>1.1570795826225824</v>
      </c>
    </row>
    <row r="95" spans="2:30" outlineLevel="1">
      <c r="B95" s="22" t="s">
        <v>165</v>
      </c>
      <c r="C95" s="5" t="s">
        <v>315</v>
      </c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>
        <f>T84-SUM(T88:T94)</f>
        <v>38.039382000000003</v>
      </c>
      <c r="U95" s="81">
        <f t="shared" si="34"/>
        <v>38.374187138347814</v>
      </c>
      <c r="V95" s="81">
        <f t="shared" si="34"/>
        <v>38.711939077478668</v>
      </c>
      <c r="W95" s="81">
        <f t="shared" si="34"/>
        <v>39.052663753777232</v>
      </c>
      <c r="X95" s="81">
        <f t="shared" si="34"/>
        <v>39.396387331908286</v>
      </c>
      <c r="Y95" s="81">
        <f t="shared" si="34"/>
        <v>39.743136206825959</v>
      </c>
      <c r="Z95" s="81">
        <f t="shared" si="34"/>
        <v>40.092937005800621</v>
      </c>
      <c r="AA95" s="81">
        <f t="shared" si="34"/>
        <v>40.445816590463622</v>
      </c>
      <c r="AB95" s="81">
        <f t="shared" si="34"/>
        <v>40.801802058870031</v>
      </c>
      <c r="AC95" s="81">
        <f t="shared" si="34"/>
        <v>41.160920747579539</v>
      </c>
      <c r="AD95" s="81">
        <f t="shared" si="34"/>
        <v>41.523200233755645</v>
      </c>
    </row>
    <row r="96" spans="2:30">
      <c r="B96" s="29"/>
      <c r="C96" s="5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5"/>
      <c r="V96" s="5"/>
      <c r="W96" s="5"/>
      <c r="X96" s="5"/>
      <c r="Y96" s="5"/>
      <c r="Z96" s="5"/>
      <c r="AA96" s="93"/>
      <c r="AB96" s="5"/>
      <c r="AC96" s="5"/>
      <c r="AD96" s="5"/>
    </row>
    <row r="97" spans="2:30">
      <c r="B97" s="218" t="s">
        <v>174</v>
      </c>
      <c r="C97" s="219"/>
      <c r="D97" s="38"/>
      <c r="E97" s="38"/>
      <c r="F97" s="38"/>
      <c r="G97" s="38"/>
      <c r="H97" s="38"/>
      <c r="I97" s="38"/>
      <c r="J97" s="220"/>
      <c r="K97" s="220"/>
      <c r="L97" s="220"/>
      <c r="M97" s="220"/>
      <c r="N97" s="220"/>
      <c r="O97" s="220"/>
      <c r="P97" s="220"/>
      <c r="Q97" s="220"/>
      <c r="R97" s="220"/>
      <c r="S97" s="220"/>
      <c r="T97" s="220"/>
      <c r="U97" s="221"/>
      <c r="V97" s="221"/>
      <c r="W97" s="221"/>
      <c r="X97" s="221"/>
      <c r="Y97" s="221"/>
      <c r="Z97" s="221"/>
      <c r="AA97" s="221"/>
      <c r="AB97" s="221"/>
      <c r="AC97" s="221"/>
      <c r="AD97" s="221"/>
    </row>
    <row r="98" spans="2:30">
      <c r="B98" s="29" t="s">
        <v>318</v>
      </c>
      <c r="C98" s="5" t="s">
        <v>315</v>
      </c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222">
        <v>87.348223000000004</v>
      </c>
      <c r="U98" s="93">
        <f>T98*(1+U67)</f>
        <v>88.117021869706946</v>
      </c>
      <c r="V98" s="93">
        <f t="shared" ref="V98:AD98" si="35">U98*(1+V67)</f>
        <v>88.89258735333874</v>
      </c>
      <c r="W98" s="93">
        <f t="shared" si="35"/>
        <v>89.674979007517805</v>
      </c>
      <c r="X98" s="93">
        <f t="shared" si="35"/>
        <v>90.464256913056573</v>
      </c>
      <c r="Y98" s="93">
        <f t="shared" si="35"/>
        <v>91.260481679571129</v>
      </c>
      <c r="Z98" s="93">
        <f t="shared" si="35"/>
        <v>92.063714450135507</v>
      </c>
      <c r="AA98" s="93">
        <f t="shared" si="35"/>
        <v>92.874016905976958</v>
      </c>
      <c r="AB98" s="93">
        <f t="shared" si="35"/>
        <v>93.691451271212514</v>
      </c>
      <c r="AC98" s="93">
        <f t="shared" si="35"/>
        <v>94.516080317627242</v>
      </c>
      <c r="AD98" s="93">
        <f t="shared" si="35"/>
        <v>95.347967369494597</v>
      </c>
    </row>
    <row r="99" spans="2:30">
      <c r="B99" s="29" t="s">
        <v>319</v>
      </c>
      <c r="C99" s="5" t="s">
        <v>315</v>
      </c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223">
        <f>345230/1000000</f>
        <v>0.34522999999999998</v>
      </c>
      <c r="V99" s="223">
        <f t="shared" ref="V99:W99" si="36">345230/1000000</f>
        <v>0.34522999999999998</v>
      </c>
      <c r="W99" s="223">
        <f t="shared" si="36"/>
        <v>0.34522999999999998</v>
      </c>
      <c r="X99" s="117">
        <f>(((X34-W34)/W34)+1)*W99</f>
        <v>0.354309549</v>
      </c>
      <c r="Y99" s="117">
        <f t="shared" ref="Y99:AD99" si="37">(((Y34-X34)/X34)+1)*X99</f>
        <v>0.36362789013870001</v>
      </c>
      <c r="Z99" s="117">
        <f t="shared" si="37"/>
        <v>0.37319130364934783</v>
      </c>
      <c r="AA99" s="117">
        <f t="shared" si="37"/>
        <v>0.38300623493532565</v>
      </c>
      <c r="AB99" s="117">
        <f t="shared" si="37"/>
        <v>0.39307929891412469</v>
      </c>
      <c r="AC99" s="117">
        <f t="shared" si="37"/>
        <v>0.40341728447556618</v>
      </c>
      <c r="AD99" s="117">
        <f t="shared" si="37"/>
        <v>0.41402715905727355</v>
      </c>
    </row>
    <row r="100" spans="2:30">
      <c r="B100" s="22" t="s">
        <v>320</v>
      </c>
      <c r="C100" s="5" t="s">
        <v>315</v>
      </c>
      <c r="D100" s="223">
        <v>28.525365999999998</v>
      </c>
      <c r="E100" s="223">
        <v>28.572689</v>
      </c>
      <c r="F100" s="223">
        <v>28.537772</v>
      </c>
      <c r="G100" s="223">
        <v>28.252829999999999</v>
      </c>
      <c r="H100" s="223">
        <v>28.477758999999999</v>
      </c>
      <c r="I100" s="223">
        <v>28.792095</v>
      </c>
      <c r="J100" s="223">
        <v>28.792095</v>
      </c>
      <c r="K100" s="223">
        <v>28.999067</v>
      </c>
      <c r="L100" s="223">
        <v>29.186983999999999</v>
      </c>
      <c r="M100" s="223">
        <v>29.432753000000002</v>
      </c>
      <c r="N100" s="223">
        <v>29.636071000000001</v>
      </c>
      <c r="O100" s="223">
        <v>29.636071000000001</v>
      </c>
      <c r="P100" s="223">
        <v>29.763404999999999</v>
      </c>
      <c r="Q100" s="223">
        <v>30.087696000000001</v>
      </c>
      <c r="R100" s="223">
        <v>30.329855999999999</v>
      </c>
      <c r="S100" s="223">
        <v>30.535170999999998</v>
      </c>
      <c r="T100" s="223">
        <v>30.535170999999998</v>
      </c>
      <c r="U100" s="93">
        <f>U98*U101</f>
        <v>30.803927525832336</v>
      </c>
      <c r="V100" s="93">
        <f t="shared" ref="V100:AD100" si="38">U100*(1+V101)</f>
        <v>41.572357176346195</v>
      </c>
      <c r="W100" s="93">
        <f t="shared" si="38"/>
        <v>56.105211900280395</v>
      </c>
      <c r="X100" s="93">
        <f t="shared" si="38"/>
        <v>75.718458518546413</v>
      </c>
      <c r="Y100" s="93">
        <f t="shared" si="38"/>
        <v>102.18809921999744</v>
      </c>
      <c r="Z100" s="93">
        <f t="shared" si="38"/>
        <v>137.91099061582568</v>
      </c>
      <c r="AA100" s="93">
        <f t="shared" si="38"/>
        <v>186.12188188070729</v>
      </c>
      <c r="AB100" s="93">
        <f t="shared" si="38"/>
        <v>251.18632503565502</v>
      </c>
      <c r="AC100" s="93">
        <f t="shared" si="38"/>
        <v>338.99598073781283</v>
      </c>
      <c r="AD100" s="93">
        <f t="shared" si="38"/>
        <v>457.50211497413056</v>
      </c>
    </row>
    <row r="101" spans="2:30" s="101" customFormat="1">
      <c r="B101" s="227" t="s">
        <v>321</v>
      </c>
      <c r="C101" s="100" t="s">
        <v>128</v>
      </c>
      <c r="D101" s="224"/>
      <c r="E101" s="224"/>
      <c r="F101" s="224"/>
      <c r="G101" s="224"/>
      <c r="H101" s="224"/>
      <c r="I101" s="224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>
        <f>T100/T98</f>
        <v>0.34957976191456119</v>
      </c>
      <c r="U101" s="226">
        <v>0.34957976191456119</v>
      </c>
      <c r="V101" s="226">
        <v>0.34957976191456119</v>
      </c>
      <c r="W101" s="226">
        <v>0.34957976191456119</v>
      </c>
      <c r="X101" s="226">
        <v>0.34957976191456119</v>
      </c>
      <c r="Y101" s="226">
        <v>0.34957976191456119</v>
      </c>
      <c r="Z101" s="226">
        <v>0.34957976191456119</v>
      </c>
      <c r="AA101" s="226">
        <v>0.34957976191456119</v>
      </c>
      <c r="AB101" s="226">
        <v>0.34957976191456119</v>
      </c>
      <c r="AC101" s="226">
        <v>0.34957976191456119</v>
      </c>
      <c r="AD101" s="226">
        <v>0.34957976191456119</v>
      </c>
    </row>
    <row r="102" spans="2:30" hidden="1" outlineLevel="1">
      <c r="B102" s="22" t="s">
        <v>175</v>
      </c>
      <c r="C102" s="5" t="s">
        <v>315</v>
      </c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222">
        <f>21.9</f>
        <v>21.9</v>
      </c>
      <c r="U102" s="93">
        <f>T102*(1+U$67)</f>
        <v>22.092753723754424</v>
      </c>
      <c r="V102" s="93">
        <f t="shared" ref="V102:AD102" si="39">U102*(1+V$67)</f>
        <v>22.287203977098859</v>
      </c>
      <c r="W102" s="93">
        <f t="shared" si="39"/>
        <v>22.483365692106176</v>
      </c>
      <c r="X102" s="93">
        <f t="shared" si="39"/>
        <v>22.681253932274483</v>
      </c>
      <c r="Y102" s="93">
        <f t="shared" si="39"/>
        <v>22.880883893683873</v>
      </c>
      <c r="Z102" s="93">
        <f t="shared" si="39"/>
        <v>23.082270906163334</v>
      </c>
      <c r="AA102" s="93">
        <f t="shared" si="39"/>
        <v>23.285430434467965</v>
      </c>
      <c r="AB102" s="93">
        <f t="shared" si="39"/>
        <v>23.49037807946652</v>
      </c>
      <c r="AC102" s="93">
        <f t="shared" si="39"/>
        <v>23.697129579339421</v>
      </c>
      <c r="AD102" s="93">
        <f t="shared" si="39"/>
        <v>23.905700810787312</v>
      </c>
    </row>
    <row r="103" spans="2:30" hidden="1" outlineLevel="1">
      <c r="B103" s="22" t="s">
        <v>322</v>
      </c>
      <c r="C103" s="5" t="s">
        <v>315</v>
      </c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222">
        <f>2*6.625849</f>
        <v>13.251697999999999</v>
      </c>
      <c r="U103" s="93">
        <f t="shared" ref="U103:AD111" si="40">T103*(1+U$67)</f>
        <v>13.368333348656121</v>
      </c>
      <c r="V103" s="93">
        <f t="shared" si="40"/>
        <v>13.485995267986894</v>
      </c>
      <c r="W103" s="93">
        <f t="shared" si="40"/>
        <v>13.604692793395069</v>
      </c>
      <c r="X103" s="93">
        <f t="shared" si="40"/>
        <v>13.724435039808855</v>
      </c>
      <c r="Y103" s="93">
        <f t="shared" si="40"/>
        <v>13.845231202381862</v>
      </c>
      <c r="Z103" s="93">
        <f t="shared" si="40"/>
        <v>13.967090557199217</v>
      </c>
      <c r="AA103" s="93">
        <f t="shared" si="40"/>
        <v>14.090022461989875</v>
      </c>
      <c r="AB103" s="93">
        <f t="shared" si="40"/>
        <v>14.21403635684522</v>
      </c>
      <c r="AC103" s="93">
        <f t="shared" si="40"/>
        <v>14.339141764943975</v>
      </c>
      <c r="AD103" s="93">
        <f t="shared" si="40"/>
        <v>14.465348293283498</v>
      </c>
    </row>
    <row r="104" spans="2:30" hidden="1" outlineLevel="1">
      <c r="B104" s="22" t="s">
        <v>176</v>
      </c>
      <c r="C104" s="5" t="s">
        <v>315</v>
      </c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222">
        <f>2.392678*2</f>
        <v>4.7853560000000002</v>
      </c>
      <c r="U104" s="93">
        <f t="shared" si="40"/>
        <v>4.8274745017575613</v>
      </c>
      <c r="V104" s="93">
        <f t="shared" si="40"/>
        <v>4.8699637111887624</v>
      </c>
      <c r="W104" s="93">
        <f t="shared" si="40"/>
        <v>4.9128268910919841</v>
      </c>
      <c r="X104" s="93">
        <f t="shared" si="40"/>
        <v>4.9560673329832561</v>
      </c>
      <c r="Y104" s="93">
        <f t="shared" si="40"/>
        <v>4.9996883573490178</v>
      </c>
      <c r="Z104" s="93">
        <f t="shared" si="40"/>
        <v>5.0436933139011035</v>
      </c>
      <c r="AA104" s="93">
        <f t="shared" si="40"/>
        <v>5.0880855818339681</v>
      </c>
      <c r="AB104" s="93">
        <f t="shared" si="40"/>
        <v>5.1328685700841827</v>
      </c>
      <c r="AC104" s="93">
        <f t="shared" si="40"/>
        <v>5.1780457175922088</v>
      </c>
      <c r="AD104" s="93">
        <f t="shared" si="40"/>
        <v>5.2236204935664805</v>
      </c>
    </row>
    <row r="105" spans="2:30" hidden="1" outlineLevel="1">
      <c r="B105" s="22" t="s">
        <v>177</v>
      </c>
      <c r="C105" s="5" t="s">
        <v>315</v>
      </c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222">
        <v>3.1680190000000001</v>
      </c>
      <c r="U105" s="93">
        <f t="shared" si="40"/>
        <v>3.1959024456244189</v>
      </c>
      <c r="V105" s="93">
        <f t="shared" si="40"/>
        <v>3.2240313085079797</v>
      </c>
      <c r="W105" s="93">
        <f t="shared" si="40"/>
        <v>3.2524077487004805</v>
      </c>
      <c r="X105" s="93">
        <f t="shared" si="40"/>
        <v>3.2810339452634834</v>
      </c>
      <c r="Y105" s="93">
        <f t="shared" si="40"/>
        <v>3.3099120964376483</v>
      </c>
      <c r="Z105" s="93">
        <f t="shared" si="40"/>
        <v>3.3390444198115374</v>
      </c>
      <c r="AA105" s="93">
        <f t="shared" si="40"/>
        <v>3.3684331524919076</v>
      </c>
      <c r="AB105" s="93">
        <f t="shared" si="40"/>
        <v>3.3980805512755001</v>
      </c>
      <c r="AC105" s="93">
        <f t="shared" si="40"/>
        <v>3.4279888928223423</v>
      </c>
      <c r="AD105" s="93">
        <f t="shared" si="40"/>
        <v>3.458160473830576</v>
      </c>
    </row>
    <row r="106" spans="2:30" hidden="1" outlineLevel="1">
      <c r="B106" s="22" t="s">
        <v>178</v>
      </c>
      <c r="C106" s="5" t="s">
        <v>315</v>
      </c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222">
        <v>1.2</v>
      </c>
      <c r="U106" s="93">
        <f t="shared" si="40"/>
        <v>1.2105618478769549</v>
      </c>
      <c r="V106" s="93">
        <f t="shared" si="40"/>
        <v>1.2212166562793896</v>
      </c>
      <c r="W106" s="93">
        <f t="shared" si="40"/>
        <v>1.2319652434030781</v>
      </c>
      <c r="X106" s="93">
        <f t="shared" si="40"/>
        <v>1.2428084346451773</v>
      </c>
      <c r="Y106" s="93">
        <f t="shared" si="40"/>
        <v>1.2537470626676095</v>
      </c>
      <c r="Z106" s="93">
        <f t="shared" si="40"/>
        <v>1.2647819674610048</v>
      </c>
      <c r="AA106" s="93">
        <f t="shared" si="40"/>
        <v>1.2759139964092037</v>
      </c>
      <c r="AB106" s="93">
        <f t="shared" si="40"/>
        <v>1.2871440043543299</v>
      </c>
      <c r="AC106" s="93">
        <f t="shared" si="40"/>
        <v>1.2984728536624339</v>
      </c>
      <c r="AD106" s="93">
        <f t="shared" si="40"/>
        <v>1.3099014142897156</v>
      </c>
    </row>
    <row r="107" spans="2:30" hidden="1" outlineLevel="1">
      <c r="B107" s="22" t="s">
        <v>179</v>
      </c>
      <c r="C107" s="5" t="s">
        <v>315</v>
      </c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222">
        <v>0.91400000000000003</v>
      </c>
      <c r="U107" s="93">
        <f t="shared" si="40"/>
        <v>0.92204460746628059</v>
      </c>
      <c r="V107" s="93">
        <f t="shared" si="40"/>
        <v>0.93016001986613506</v>
      </c>
      <c r="W107" s="93">
        <f t="shared" si="40"/>
        <v>0.93834686039201121</v>
      </c>
      <c r="X107" s="93">
        <f t="shared" si="40"/>
        <v>0.94660575772140998</v>
      </c>
      <c r="Y107" s="93">
        <f t="shared" si="40"/>
        <v>0.95493734606516256</v>
      </c>
      <c r="Z107" s="93">
        <f t="shared" si="40"/>
        <v>0.96334226521613187</v>
      </c>
      <c r="AA107" s="93">
        <f t="shared" si="40"/>
        <v>0.97182116059834345</v>
      </c>
      <c r="AB107" s="93">
        <f t="shared" si="40"/>
        <v>0.98037468331654798</v>
      </c>
      <c r="AC107" s="93">
        <f t="shared" si="40"/>
        <v>0.98900349020622058</v>
      </c>
      <c r="AD107" s="93">
        <f t="shared" si="40"/>
        <v>0.99770824388400015</v>
      </c>
    </row>
    <row r="108" spans="2:30" hidden="1" outlineLevel="1">
      <c r="B108" s="22" t="s">
        <v>180</v>
      </c>
      <c r="C108" s="5" t="s">
        <v>315</v>
      </c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222">
        <v>0.92500000000000004</v>
      </c>
      <c r="U108" s="93">
        <f t="shared" si="40"/>
        <v>0.93314142440515269</v>
      </c>
      <c r="V108" s="93">
        <f t="shared" si="40"/>
        <v>0.94135450588202951</v>
      </c>
      <c r="W108" s="93">
        <f t="shared" si="40"/>
        <v>0.94963987512320613</v>
      </c>
      <c r="X108" s="93">
        <f t="shared" si="40"/>
        <v>0.95799816837232421</v>
      </c>
      <c r="Y108" s="93">
        <f t="shared" si="40"/>
        <v>0.96643002747294904</v>
      </c>
      <c r="Z108" s="93">
        <f t="shared" si="40"/>
        <v>0.97493609991785779</v>
      </c>
      <c r="AA108" s="93">
        <f t="shared" si="40"/>
        <v>0.98351703889876119</v>
      </c>
      <c r="AB108" s="93">
        <f t="shared" si="40"/>
        <v>0.9921735033564627</v>
      </c>
      <c r="AC108" s="93">
        <f t="shared" si="40"/>
        <v>1.0009061580314595</v>
      </c>
      <c r="AD108" s="93">
        <f t="shared" si="40"/>
        <v>1.0097156735149893</v>
      </c>
    </row>
    <row r="109" spans="2:30" hidden="1" outlineLevel="1">
      <c r="B109" s="22" t="s">
        <v>181</v>
      </c>
      <c r="C109" s="5" t="s">
        <v>315</v>
      </c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222">
        <v>1.68</v>
      </c>
      <c r="U109" s="93">
        <f t="shared" si="40"/>
        <v>1.6947865870277368</v>
      </c>
      <c r="V109" s="93">
        <f t="shared" si="40"/>
        <v>1.7097033187911455</v>
      </c>
      <c r="W109" s="93">
        <f t="shared" si="40"/>
        <v>1.7247513407643096</v>
      </c>
      <c r="X109" s="93">
        <f t="shared" si="40"/>
        <v>1.7399318085032482</v>
      </c>
      <c r="Y109" s="93">
        <f t="shared" si="40"/>
        <v>1.7552458877346535</v>
      </c>
      <c r="Z109" s="93">
        <f t="shared" si="40"/>
        <v>1.7706947544454068</v>
      </c>
      <c r="AA109" s="93">
        <f t="shared" si="40"/>
        <v>1.7862795949728854</v>
      </c>
      <c r="AB109" s="93">
        <f t="shared" si="40"/>
        <v>1.8020016060960622</v>
      </c>
      <c r="AC109" s="93">
        <f t="shared" si="40"/>
        <v>1.817861995127408</v>
      </c>
      <c r="AD109" s="93">
        <f t="shared" si="40"/>
        <v>1.8338619800056024</v>
      </c>
    </row>
    <row r="110" spans="2:30" hidden="1" outlineLevel="1">
      <c r="B110" s="22" t="s">
        <v>182</v>
      </c>
      <c r="C110" s="5" t="s">
        <v>315</v>
      </c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222">
        <v>2.0299999999999998</v>
      </c>
      <c r="U110" s="93">
        <f t="shared" si="40"/>
        <v>2.0478671259918482</v>
      </c>
      <c r="V110" s="93">
        <f t="shared" si="40"/>
        <v>2.065891510205967</v>
      </c>
      <c r="W110" s="93">
        <f t="shared" si="40"/>
        <v>2.0840745367568734</v>
      </c>
      <c r="X110" s="93">
        <f t="shared" si="40"/>
        <v>2.1024176019414242</v>
      </c>
      <c r="Y110" s="93">
        <f t="shared" si="40"/>
        <v>2.1209221143460386</v>
      </c>
      <c r="Z110" s="93">
        <f t="shared" si="40"/>
        <v>2.1395894949548655</v>
      </c>
      <c r="AA110" s="93">
        <f t="shared" si="40"/>
        <v>2.1584211772589019</v>
      </c>
      <c r="AB110" s="93">
        <f t="shared" si="40"/>
        <v>2.1774186073660737</v>
      </c>
      <c r="AC110" s="93">
        <f t="shared" si="40"/>
        <v>2.1965832441122832</v>
      </c>
      <c r="AD110" s="93">
        <f t="shared" si="40"/>
        <v>2.2159165591734347</v>
      </c>
    </row>
    <row r="111" spans="2:30" hidden="1" outlineLevel="1">
      <c r="B111" s="22" t="s">
        <v>165</v>
      </c>
      <c r="C111" s="5" t="s">
        <v>315</v>
      </c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>
        <f>T98-SUM(T102:T109)</f>
        <v>39.524150000000006</v>
      </c>
      <c r="U111" s="93">
        <f t="shared" si="40"/>
        <v>39.872023383138291</v>
      </c>
      <c r="V111" s="93">
        <f t="shared" si="40"/>
        <v>40.222958587737537</v>
      </c>
      <c r="W111" s="93">
        <f t="shared" si="40"/>
        <v>40.576982562541488</v>
      </c>
      <c r="X111" s="93">
        <f t="shared" si="40"/>
        <v>40.934122493484331</v>
      </c>
      <c r="Y111" s="93">
        <f t="shared" si="40"/>
        <v>41.294405805778347</v>
      </c>
      <c r="Z111" s="93">
        <f t="shared" si="40"/>
        <v>41.657860166019908</v>
      </c>
      <c r="AA111" s="93">
        <f t="shared" si="40"/>
        <v>42.024513484314042</v>
      </c>
      <c r="AB111" s="93">
        <f t="shared" si="40"/>
        <v>42.394393916417677</v>
      </c>
      <c r="AC111" s="93">
        <f t="shared" si="40"/>
        <v>42.767529865901764</v>
      </c>
      <c r="AD111" s="93">
        <f t="shared" si="40"/>
        <v>43.143949986332409</v>
      </c>
    </row>
    <row r="112" spans="2:30" collapsed="1">
      <c r="B112" s="29"/>
      <c r="C112" s="5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5"/>
      <c r="V112" s="5"/>
      <c r="W112" s="5"/>
      <c r="X112" s="5"/>
      <c r="Y112" s="5"/>
      <c r="Z112" s="5"/>
      <c r="AA112" s="93"/>
      <c r="AB112" s="5"/>
      <c r="AC112" s="5"/>
      <c r="AD112" s="5"/>
    </row>
    <row r="113" spans="2:30">
      <c r="B113" s="218" t="s">
        <v>183</v>
      </c>
      <c r="C113" s="219"/>
      <c r="D113" s="38"/>
      <c r="E113" s="38"/>
      <c r="F113" s="38"/>
      <c r="G113" s="38"/>
      <c r="H113" s="38"/>
      <c r="I113" s="38"/>
      <c r="J113" s="220"/>
      <c r="K113" s="220"/>
      <c r="L113" s="220"/>
      <c r="M113" s="220"/>
      <c r="N113" s="220"/>
      <c r="O113" s="220"/>
      <c r="P113" s="220"/>
      <c r="Q113" s="220"/>
      <c r="R113" s="220"/>
      <c r="S113" s="220"/>
      <c r="T113" s="220"/>
      <c r="U113" s="221"/>
      <c r="V113" s="221"/>
      <c r="W113" s="221"/>
      <c r="X113" s="221"/>
      <c r="Y113" s="221"/>
      <c r="Z113" s="221"/>
      <c r="AA113" s="221"/>
      <c r="AB113" s="221"/>
      <c r="AC113" s="221"/>
      <c r="AD113" s="221"/>
    </row>
    <row r="114" spans="2:30">
      <c r="B114" s="29" t="s">
        <v>318</v>
      </c>
      <c r="C114" s="5" t="s">
        <v>315</v>
      </c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222">
        <v>30.685597999999999</v>
      </c>
      <c r="U114" s="93">
        <f>T114*(1+U67)</f>
        <v>30.955678515074489</v>
      </c>
      <c r="V114" s="93">
        <f t="shared" ref="V114:AD114" si="41">U114*(1+V67)</f>
        <v>31.228136154577935</v>
      </c>
      <c r="W114" s="93">
        <f t="shared" si="41"/>
        <v>31.502991840865839</v>
      </c>
      <c r="X114" s="93">
        <f t="shared" si="41"/>
        <v>31.780266680442651</v>
      </c>
      <c r="Y114" s="93">
        <f t="shared" si="41"/>
        <v>32.059981965582558</v>
      </c>
      <c r="Z114" s="93">
        <f t="shared" si="41"/>
        <v>32.342159175964554</v>
      </c>
      <c r="AA114" s="93">
        <f t="shared" si="41"/>
        <v>32.626819980321883</v>
      </c>
      <c r="AB114" s="93">
        <f t="shared" si="41"/>
        <v>32.913986238106006</v>
      </c>
      <c r="AC114" s="93">
        <f t="shared" si="41"/>
        <v>33.203680001165225</v>
      </c>
      <c r="AD114" s="93">
        <f t="shared" si="41"/>
        <v>33.495923515438051</v>
      </c>
    </row>
    <row r="115" spans="2:30">
      <c r="B115" s="29" t="s">
        <v>319</v>
      </c>
      <c r="C115" s="5" t="s">
        <v>315</v>
      </c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222"/>
      <c r="U115" s="223">
        <f>129120/1000000</f>
        <v>0.12912000000000001</v>
      </c>
      <c r="V115" s="223">
        <f t="shared" ref="V115:W115" si="42">129120/1000000</f>
        <v>0.12912000000000001</v>
      </c>
      <c r="W115" s="223">
        <f t="shared" si="42"/>
        <v>0.12912000000000001</v>
      </c>
      <c r="X115" s="117">
        <f>(((X34-W34)/W34)+1)*W115</f>
        <v>0.13251585600000002</v>
      </c>
      <c r="Y115" s="117">
        <f t="shared" ref="Y115:AD115" si="43">(((Y34-X34)/X34)+1)*X115</f>
        <v>0.13600102301280001</v>
      </c>
      <c r="Z115" s="117">
        <f t="shared" si="43"/>
        <v>0.13957784991803665</v>
      </c>
      <c r="AA115" s="117">
        <f t="shared" si="43"/>
        <v>0.143248747370881</v>
      </c>
      <c r="AB115" s="117">
        <f t="shared" si="43"/>
        <v>0.14701618942673517</v>
      </c>
      <c r="AC115" s="117">
        <f t="shared" si="43"/>
        <v>0.15088271520865831</v>
      </c>
      <c r="AD115" s="117">
        <f t="shared" si="43"/>
        <v>0.15485093061864602</v>
      </c>
    </row>
    <row r="116" spans="2:30">
      <c r="B116" s="22" t="s">
        <v>320</v>
      </c>
      <c r="C116" s="5" t="s">
        <v>315</v>
      </c>
      <c r="D116" s="223">
        <v>6.9107849999999997</v>
      </c>
      <c r="E116" s="223">
        <v>6.8596219999999999</v>
      </c>
      <c r="F116" s="223">
        <v>6.8568020000000001</v>
      </c>
      <c r="G116" s="223">
        <v>6.803312</v>
      </c>
      <c r="H116" s="223">
        <v>6.8164579999999999</v>
      </c>
      <c r="I116" s="223">
        <v>6.8866649999999998</v>
      </c>
      <c r="J116" s="223">
        <v>6.8866649999999998</v>
      </c>
      <c r="K116" s="223">
        <v>6.918622</v>
      </c>
      <c r="L116" s="223">
        <v>6.9715030000000002</v>
      </c>
      <c r="M116" s="223">
        <v>7.0496619999999997</v>
      </c>
      <c r="N116" s="223">
        <v>7.117184</v>
      </c>
      <c r="O116" s="223">
        <v>7.117184</v>
      </c>
      <c r="P116" s="223">
        <v>7.141896</v>
      </c>
      <c r="Q116" s="223">
        <v>7.2326969999999999</v>
      </c>
      <c r="R116" s="223">
        <v>7.2926399999999996</v>
      </c>
      <c r="S116" s="223">
        <v>7.3183470000000002</v>
      </c>
      <c r="T116" s="223">
        <v>7.3183470000000002</v>
      </c>
      <c r="U116" s="81">
        <f>U117*U114</f>
        <v>7.3827597231039732</v>
      </c>
      <c r="V116" s="81">
        <f t="shared" ref="V116:AD116" si="44">V117*V114</f>
        <v>7.4477393773602509</v>
      </c>
      <c r="W116" s="81">
        <f t="shared" si="44"/>
        <v>7.5132909526359883</v>
      </c>
      <c r="X116" s="81">
        <f t="shared" si="44"/>
        <v>7.5794194827168573</v>
      </c>
      <c r="Y116" s="81">
        <f t="shared" si="44"/>
        <v>7.6461300456935932</v>
      </c>
      <c r="Z116" s="81">
        <f t="shared" si="44"/>
        <v>7.71342776435195</v>
      </c>
      <c r="AA116" s="81">
        <f t="shared" si="44"/>
        <v>7.7813178065660873</v>
      </c>
      <c r="AB116" s="81">
        <f t="shared" si="44"/>
        <v>7.8498053856954124</v>
      </c>
      <c r="AC116" s="81">
        <f t="shared" si="44"/>
        <v>7.9188957609849258</v>
      </c>
      <c r="AD116" s="81">
        <f t="shared" si="44"/>
        <v>7.98859423796908</v>
      </c>
    </row>
    <row r="117" spans="2:30" s="101" customFormat="1">
      <c r="B117" s="227" t="s">
        <v>321</v>
      </c>
      <c r="C117" s="100" t="s">
        <v>128</v>
      </c>
      <c r="D117" s="224"/>
      <c r="E117" s="224"/>
      <c r="F117" s="224"/>
      <c r="G117" s="224"/>
      <c r="H117" s="224"/>
      <c r="I117" s="224"/>
      <c r="J117" s="225"/>
      <c r="K117" s="225"/>
      <c r="L117" s="225"/>
      <c r="M117" s="225"/>
      <c r="N117" s="225"/>
      <c r="O117" s="225"/>
      <c r="P117" s="225"/>
      <c r="Q117" s="225"/>
      <c r="R117" s="225"/>
      <c r="S117" s="225"/>
      <c r="T117" s="225">
        <f>T116/T114</f>
        <v>0.23849452111052227</v>
      </c>
      <c r="U117" s="226">
        <v>0.23849452111052227</v>
      </c>
      <c r="V117" s="226">
        <v>0.23849452111052227</v>
      </c>
      <c r="W117" s="226">
        <v>0.23849452111052227</v>
      </c>
      <c r="X117" s="226">
        <v>0.23849452111052227</v>
      </c>
      <c r="Y117" s="226">
        <v>0.23849452111052227</v>
      </c>
      <c r="Z117" s="226">
        <v>0.23849452111052227</v>
      </c>
      <c r="AA117" s="226">
        <v>0.23849452111052227</v>
      </c>
      <c r="AB117" s="226">
        <v>0.23849452111052227</v>
      </c>
      <c r="AC117" s="226">
        <v>0.23849452111052227</v>
      </c>
      <c r="AD117" s="226">
        <v>0.23849452111052227</v>
      </c>
    </row>
    <row r="118" spans="2:30" hidden="1" outlineLevel="1">
      <c r="B118" s="22" t="s">
        <v>184</v>
      </c>
      <c r="C118" s="5" t="s">
        <v>315</v>
      </c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222">
        <v>3.74</v>
      </c>
      <c r="U118" s="81">
        <f>T118*(1+U$67)</f>
        <v>3.7729177592165093</v>
      </c>
      <c r="V118" s="81">
        <f t="shared" ref="V118:AD118" si="45">U118*(1+V$67)</f>
        <v>3.8061252454040977</v>
      </c>
      <c r="W118" s="81">
        <f t="shared" si="45"/>
        <v>3.8396250086062604</v>
      </c>
      <c r="X118" s="81">
        <f t="shared" si="45"/>
        <v>3.8734196213108025</v>
      </c>
      <c r="Y118" s="81">
        <f t="shared" si="45"/>
        <v>3.9075116786473831</v>
      </c>
      <c r="Z118" s="81">
        <f t="shared" si="45"/>
        <v>3.941903798586798</v>
      </c>
      <c r="AA118" s="81">
        <f t="shared" si="45"/>
        <v>3.976598622142018</v>
      </c>
      <c r="AB118" s="81">
        <f t="shared" si="45"/>
        <v>4.0115988135709948</v>
      </c>
      <c r="AC118" s="81">
        <f t="shared" si="45"/>
        <v>4.0469070605812529</v>
      </c>
      <c r="AD118" s="81">
        <f t="shared" si="45"/>
        <v>4.0825260745362808</v>
      </c>
    </row>
    <row r="119" spans="2:30" hidden="1" outlineLevel="1">
      <c r="B119" s="22" t="s">
        <v>185</v>
      </c>
      <c r="C119" s="5" t="s">
        <v>315</v>
      </c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222">
        <v>4.4000000000000004</v>
      </c>
      <c r="U119" s="81">
        <f t="shared" ref="U119:AD123" si="46">T119*(1+U$67)</f>
        <v>4.4387267755488349</v>
      </c>
      <c r="V119" s="81">
        <f t="shared" si="46"/>
        <v>4.4777944063577619</v>
      </c>
      <c r="W119" s="81">
        <f t="shared" si="46"/>
        <v>4.5172058924779535</v>
      </c>
      <c r="X119" s="81">
        <f t="shared" si="46"/>
        <v>4.5569642603656506</v>
      </c>
      <c r="Y119" s="81">
        <f t="shared" si="46"/>
        <v>4.597072563114569</v>
      </c>
      <c r="Z119" s="81">
        <f t="shared" si="46"/>
        <v>4.6375338806903512</v>
      </c>
      <c r="AA119" s="81">
        <f t="shared" si="46"/>
        <v>4.6783513201670806</v>
      </c>
      <c r="AB119" s="81">
        <f t="shared" si="46"/>
        <v>4.719528015965877</v>
      </c>
      <c r="AC119" s="81">
        <f t="shared" si="46"/>
        <v>4.7610671300955918</v>
      </c>
      <c r="AD119" s="81">
        <f t="shared" si="46"/>
        <v>4.8029718523956246</v>
      </c>
    </row>
    <row r="120" spans="2:30" hidden="1" outlineLevel="1">
      <c r="B120" s="22" t="s">
        <v>186</v>
      </c>
      <c r="C120" s="5" t="s">
        <v>315</v>
      </c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222">
        <v>1.4</v>
      </c>
      <c r="U120" s="81">
        <f t="shared" si="46"/>
        <v>1.4123221558564472</v>
      </c>
      <c r="V120" s="81">
        <f t="shared" si="46"/>
        <v>1.4247527656592878</v>
      </c>
      <c r="W120" s="81">
        <f t="shared" si="46"/>
        <v>1.4372927839702578</v>
      </c>
      <c r="X120" s="81">
        <f t="shared" si="46"/>
        <v>1.4499431737527069</v>
      </c>
      <c r="Y120" s="81">
        <f t="shared" si="46"/>
        <v>1.4627049064455444</v>
      </c>
      <c r="Z120" s="81">
        <f t="shared" si="46"/>
        <v>1.4755789620378388</v>
      </c>
      <c r="AA120" s="81">
        <f t="shared" si="46"/>
        <v>1.4885663291440709</v>
      </c>
      <c r="AB120" s="81">
        <f t="shared" si="46"/>
        <v>1.5016680050800515</v>
      </c>
      <c r="AC120" s="81">
        <f t="shared" si="46"/>
        <v>1.5148849959395063</v>
      </c>
      <c r="AD120" s="81">
        <f t="shared" si="46"/>
        <v>1.528218316671335</v>
      </c>
    </row>
    <row r="121" spans="2:30" hidden="1" outlineLevel="1">
      <c r="B121" s="22" t="s">
        <v>187</v>
      </c>
      <c r="C121" s="5" t="s">
        <v>315</v>
      </c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222">
        <v>1.1000000000000001</v>
      </c>
      <c r="U121" s="81">
        <f t="shared" si="46"/>
        <v>1.1096816938872087</v>
      </c>
      <c r="V121" s="81">
        <f t="shared" si="46"/>
        <v>1.1194486015894405</v>
      </c>
      <c r="W121" s="81">
        <f t="shared" si="46"/>
        <v>1.1293014731194884</v>
      </c>
      <c r="X121" s="81">
        <f t="shared" si="46"/>
        <v>1.1392410650914127</v>
      </c>
      <c r="Y121" s="81">
        <f t="shared" si="46"/>
        <v>1.1492681407786423</v>
      </c>
      <c r="Z121" s="81">
        <f t="shared" si="46"/>
        <v>1.1593834701725878</v>
      </c>
      <c r="AA121" s="81">
        <f t="shared" si="46"/>
        <v>1.1695878300417701</v>
      </c>
      <c r="AB121" s="81">
        <f t="shared" si="46"/>
        <v>1.1798820039914693</v>
      </c>
      <c r="AC121" s="81">
        <f t="shared" si="46"/>
        <v>1.1902667825238979</v>
      </c>
      <c r="AD121" s="81">
        <f t="shared" si="46"/>
        <v>1.2007429630989062</v>
      </c>
    </row>
    <row r="122" spans="2:30" hidden="1" outlineLevel="1">
      <c r="B122" s="22" t="s">
        <v>188</v>
      </c>
      <c r="C122" s="5" t="s">
        <v>315</v>
      </c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222">
        <v>1.2</v>
      </c>
      <c r="U122" s="81">
        <f t="shared" si="46"/>
        <v>1.2105618478769549</v>
      </c>
      <c r="V122" s="81">
        <f t="shared" si="46"/>
        <v>1.2212166562793896</v>
      </c>
      <c r="W122" s="81">
        <f t="shared" si="46"/>
        <v>1.2319652434030781</v>
      </c>
      <c r="X122" s="81">
        <f t="shared" si="46"/>
        <v>1.2428084346451773</v>
      </c>
      <c r="Y122" s="81">
        <f t="shared" si="46"/>
        <v>1.2537470626676095</v>
      </c>
      <c r="Z122" s="81">
        <f t="shared" si="46"/>
        <v>1.2647819674610048</v>
      </c>
      <c r="AA122" s="81">
        <f t="shared" si="46"/>
        <v>1.2759139964092037</v>
      </c>
      <c r="AB122" s="81">
        <f t="shared" si="46"/>
        <v>1.2871440043543299</v>
      </c>
      <c r="AC122" s="81">
        <f t="shared" si="46"/>
        <v>1.2984728536624339</v>
      </c>
      <c r="AD122" s="81">
        <f t="shared" si="46"/>
        <v>1.3099014142897156</v>
      </c>
    </row>
    <row r="123" spans="2:30" hidden="1" outlineLevel="1">
      <c r="B123" s="22" t="s">
        <v>165</v>
      </c>
      <c r="C123" s="5" t="s">
        <v>315</v>
      </c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>
        <f>T114-SUM(T118:T122)</f>
        <v>18.845597999999999</v>
      </c>
      <c r="U123" s="81">
        <f t="shared" si="46"/>
        <v>19.011468282688536</v>
      </c>
      <c r="V123" s="81">
        <f t="shared" si="46"/>
        <v>19.178798479287959</v>
      </c>
      <c r="W123" s="81">
        <f t="shared" si="46"/>
        <v>19.347601439288802</v>
      </c>
      <c r="X123" s="81">
        <f t="shared" si="46"/>
        <v>19.517890125276903</v>
      </c>
      <c r="Y123" s="81">
        <f t="shared" si="46"/>
        <v>19.689677613928815</v>
      </c>
      <c r="Z123" s="81">
        <f t="shared" si="46"/>
        <v>19.862977097015982</v>
      </c>
      <c r="AA123" s="81">
        <f t="shared" si="46"/>
        <v>20.03780188241775</v>
      </c>
      <c r="AB123" s="81">
        <f t="shared" si="46"/>
        <v>20.214165395143297</v>
      </c>
      <c r="AC123" s="81">
        <f t="shared" si="46"/>
        <v>20.392081178362552</v>
      </c>
      <c r="AD123" s="81">
        <f t="shared" si="46"/>
        <v>20.571562894446203</v>
      </c>
    </row>
    <row r="124" spans="2:30" collapsed="1">
      <c r="B124" s="29"/>
      <c r="C124" s="5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5"/>
      <c r="V124" s="5"/>
      <c r="W124" s="5"/>
      <c r="X124" s="5"/>
      <c r="Y124" s="5"/>
      <c r="Z124" s="5"/>
      <c r="AA124" s="93"/>
      <c r="AB124" s="5"/>
      <c r="AC124" s="5"/>
      <c r="AD124" s="5"/>
    </row>
    <row r="125" spans="2:30">
      <c r="B125" s="218" t="s">
        <v>189</v>
      </c>
      <c r="C125" s="219"/>
      <c r="D125" s="38"/>
      <c r="E125" s="38"/>
      <c r="F125" s="38"/>
      <c r="G125" s="38"/>
      <c r="H125" s="38"/>
      <c r="I125" s="38"/>
      <c r="J125" s="220"/>
      <c r="K125" s="220"/>
      <c r="L125" s="220"/>
      <c r="M125" s="220"/>
      <c r="N125" s="220"/>
      <c r="O125" s="220"/>
      <c r="P125" s="220"/>
      <c r="Q125" s="220"/>
      <c r="R125" s="220"/>
      <c r="S125" s="220"/>
      <c r="T125" s="220"/>
      <c r="U125" s="221"/>
      <c r="V125" s="221"/>
      <c r="W125" s="221"/>
      <c r="X125" s="221"/>
      <c r="Y125" s="221"/>
      <c r="Z125" s="221"/>
      <c r="AA125" s="221"/>
      <c r="AB125" s="221"/>
      <c r="AC125" s="221"/>
      <c r="AD125" s="221"/>
    </row>
    <row r="126" spans="2:30">
      <c r="B126" s="29" t="s">
        <v>318</v>
      </c>
      <c r="C126" s="5" t="s">
        <v>315</v>
      </c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222">
        <v>16.492325999999998</v>
      </c>
      <c r="U126" s="93">
        <f>T126*(1+U67)</f>
        <v>16.637483865290953</v>
      </c>
      <c r="V126" s="93">
        <f t="shared" ref="V126:AD126" si="47">U126*(1+V67)</f>
        <v>16.783919343324698</v>
      </c>
      <c r="W126" s="93">
        <f t="shared" si="47"/>
        <v>16.931643679060759</v>
      </c>
      <c r="X126" s="93">
        <f t="shared" si="47"/>
        <v>17.080668216431629</v>
      </c>
      <c r="Y126" s="93">
        <f t="shared" si="47"/>
        <v>17.23100439921387</v>
      </c>
      <c r="Z126" s="93">
        <f t="shared" si="47"/>
        <v>17.382663771906898</v>
      </c>
      <c r="AA126" s="93">
        <f t="shared" si="47"/>
        <v>17.535657980619511</v>
      </c>
      <c r="AB126" s="93">
        <f t="shared" si="47"/>
        <v>17.689998773964188</v>
      </c>
      <c r="AC126" s="93">
        <f t="shared" si="47"/>
        <v>17.845698003959296</v>
      </c>
      <c r="AD126" s="93">
        <f t="shared" si="47"/>
        <v>18.002767626939207</v>
      </c>
    </row>
    <row r="127" spans="2:30">
      <c r="B127" s="29" t="s">
        <v>319</v>
      </c>
      <c r="C127" s="5" t="s">
        <v>315</v>
      </c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222"/>
      <c r="U127" s="223">
        <f>51340/1000000</f>
        <v>5.1339999999999997E-2</v>
      </c>
      <c r="V127" s="223">
        <f t="shared" ref="V127:W127" si="48">51340/1000000</f>
        <v>5.1339999999999997E-2</v>
      </c>
      <c r="W127" s="223">
        <f t="shared" si="48"/>
        <v>5.1339999999999997E-2</v>
      </c>
      <c r="X127" s="117">
        <f>(((X34-W34)/W34)+1)*W127</f>
        <v>5.2690241999999998E-2</v>
      </c>
      <c r="Y127" s="117">
        <f t="shared" ref="Y127:AD127" si="49">(((Y34-X34)/X34)+1)*X127</f>
        <v>5.4075995364599998E-2</v>
      </c>
      <c r="Z127" s="117">
        <f t="shared" si="49"/>
        <v>5.5498194042688978E-2</v>
      </c>
      <c r="AA127" s="117">
        <f t="shared" si="49"/>
        <v>5.6957796546011699E-2</v>
      </c>
      <c r="AB127" s="117">
        <f t="shared" si="49"/>
        <v>5.8455786595171803E-2</v>
      </c>
      <c r="AC127" s="117">
        <f t="shared" si="49"/>
        <v>5.9993173782624823E-2</v>
      </c>
      <c r="AD127" s="117">
        <f t="shared" si="49"/>
        <v>6.1570994253107858E-2</v>
      </c>
    </row>
    <row r="128" spans="2:30">
      <c r="B128" s="22" t="s">
        <v>320</v>
      </c>
      <c r="C128" s="5" t="s">
        <v>315</v>
      </c>
      <c r="D128" s="223">
        <v>3.222756</v>
      </c>
      <c r="E128" s="223">
        <v>3.2494960000000002</v>
      </c>
      <c r="F128" s="223">
        <v>3.276831</v>
      </c>
      <c r="G128" s="223">
        <v>3.274518</v>
      </c>
      <c r="H128" s="223">
        <v>3.3293759999999999</v>
      </c>
      <c r="I128" s="223">
        <v>3.3615300000000001</v>
      </c>
      <c r="J128" s="223">
        <v>3.3615300000000001</v>
      </c>
      <c r="K128" s="223">
        <v>3.3702299999999998</v>
      </c>
      <c r="L128" s="223">
        <v>3.4029289999999999</v>
      </c>
      <c r="M128" s="223">
        <v>3.3908710000000002</v>
      </c>
      <c r="N128" s="223">
        <v>3.4189240000000001</v>
      </c>
      <c r="O128" s="223">
        <v>3.4189240000000001</v>
      </c>
      <c r="P128" s="223">
        <v>3.4532859999999999</v>
      </c>
      <c r="Q128" s="223">
        <v>3.4965039999999998</v>
      </c>
      <c r="R128" s="223">
        <v>3.5371619999999999</v>
      </c>
      <c r="S128" s="223">
        <v>3.5660249999999998</v>
      </c>
      <c r="T128" s="81">
        <v>3.5660249999999998</v>
      </c>
      <c r="U128" s="81">
        <f>U129*U126</f>
        <v>3.5974115113128478</v>
      </c>
      <c r="V128" s="81">
        <f t="shared" ref="V128:AD128" si="50">V129*V126</f>
        <v>3.6290742722572582</v>
      </c>
      <c r="W128" s="81">
        <f t="shared" si="50"/>
        <v>3.6610157142553845</v>
      </c>
      <c r="X128" s="81">
        <f t="shared" si="50"/>
        <v>3.6932382901296399</v>
      </c>
      <c r="Y128" s="81">
        <f t="shared" si="50"/>
        <v>3.7257444742910515</v>
      </c>
      <c r="Z128" s="81">
        <f t="shared" si="50"/>
        <v>3.7585367629292739</v>
      </c>
      <c r="AA128" s="81">
        <f t="shared" si="50"/>
        <v>3.7916176742042751</v>
      </c>
      <c r="AB128" s="81">
        <f t="shared" si="50"/>
        <v>3.8249897484397075</v>
      </c>
      <c r="AC128" s="81">
        <f t="shared" si="50"/>
        <v>3.8586555483179845</v>
      </c>
      <c r="AD128" s="81">
        <f t="shared" si="50"/>
        <v>3.8926176590770694</v>
      </c>
    </row>
    <row r="129" spans="2:30" s="101" customFormat="1">
      <c r="B129" s="227" t="s">
        <v>321</v>
      </c>
      <c r="C129" s="100" t="s">
        <v>128</v>
      </c>
      <c r="D129" s="224"/>
      <c r="E129" s="224"/>
      <c r="F129" s="224"/>
      <c r="G129" s="224"/>
      <c r="H129" s="224"/>
      <c r="I129" s="224"/>
      <c r="J129" s="225"/>
      <c r="K129" s="225"/>
      <c r="L129" s="225"/>
      <c r="M129" s="225"/>
      <c r="N129" s="225"/>
      <c r="O129" s="225"/>
      <c r="P129" s="225"/>
      <c r="Q129" s="225"/>
      <c r="R129" s="225"/>
      <c r="S129" s="225"/>
      <c r="T129" s="225">
        <f>T128/T126</f>
        <v>0.21622329075959329</v>
      </c>
      <c r="U129" s="226">
        <v>0.21622329075959329</v>
      </c>
      <c r="V129" s="226">
        <v>0.21622329075959329</v>
      </c>
      <c r="W129" s="226">
        <v>0.21622329075959329</v>
      </c>
      <c r="X129" s="226">
        <v>0.21622329075959329</v>
      </c>
      <c r="Y129" s="226">
        <v>0.21622329075959329</v>
      </c>
      <c r="Z129" s="226">
        <v>0.21622329075959329</v>
      </c>
      <c r="AA129" s="226">
        <v>0.21622329075959329</v>
      </c>
      <c r="AB129" s="226">
        <v>0.21622329075959329</v>
      </c>
      <c r="AC129" s="226">
        <v>0.21622329075959329</v>
      </c>
      <c r="AD129" s="226">
        <v>0.21622329075959329</v>
      </c>
    </row>
    <row r="130" spans="2:30" hidden="1" outlineLevel="1">
      <c r="B130" s="22" t="s">
        <v>190</v>
      </c>
      <c r="C130" s="5" t="s">
        <v>315</v>
      </c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222">
        <v>4.8</v>
      </c>
      <c r="U130" s="81">
        <f>T130*(1+U$67)</f>
        <v>4.8422473915078195</v>
      </c>
      <c r="V130" s="81">
        <f t="shared" ref="V130:AD130" si="51">U130*(1+V$67)</f>
        <v>4.8848666251175583</v>
      </c>
      <c r="W130" s="81">
        <f t="shared" si="51"/>
        <v>4.9278609736123125</v>
      </c>
      <c r="X130" s="81">
        <f t="shared" si="51"/>
        <v>4.9712337385807093</v>
      </c>
      <c r="Y130" s="81">
        <f t="shared" si="51"/>
        <v>5.014988250670438</v>
      </c>
      <c r="Z130" s="81">
        <f t="shared" si="51"/>
        <v>5.0591278698440192</v>
      </c>
      <c r="AA130" s="81">
        <f t="shared" si="51"/>
        <v>5.1036559856368147</v>
      </c>
      <c r="AB130" s="81">
        <f t="shared" si="51"/>
        <v>5.1485760174173194</v>
      </c>
      <c r="AC130" s="81">
        <f t="shared" si="51"/>
        <v>5.1938914146497357</v>
      </c>
      <c r="AD130" s="81">
        <f t="shared" si="51"/>
        <v>5.2396056571588625</v>
      </c>
    </row>
    <row r="131" spans="2:30" hidden="1" outlineLevel="1">
      <c r="B131" s="22" t="s">
        <v>191</v>
      </c>
      <c r="C131" s="5" t="s">
        <v>315</v>
      </c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222">
        <v>2.6</v>
      </c>
      <c r="U131" s="81">
        <f t="shared" ref="U131:AD134" si="52">T131*(1+U$67)</f>
        <v>2.622884003733402</v>
      </c>
      <c r="V131" s="81">
        <f t="shared" si="52"/>
        <v>2.6459694219386773</v>
      </c>
      <c r="W131" s="81">
        <f t="shared" si="52"/>
        <v>2.6692580273733362</v>
      </c>
      <c r="X131" s="81">
        <f t="shared" si="52"/>
        <v>2.6927516083978844</v>
      </c>
      <c r="Y131" s="81">
        <f t="shared" si="52"/>
        <v>2.7164519691131543</v>
      </c>
      <c r="Z131" s="81">
        <f t="shared" si="52"/>
        <v>2.740360929498844</v>
      </c>
      <c r="AA131" s="81">
        <f t="shared" si="52"/>
        <v>2.7644803255532753</v>
      </c>
      <c r="AB131" s="81">
        <f t="shared" si="52"/>
        <v>2.7888120094343822</v>
      </c>
      <c r="AC131" s="81">
        <f t="shared" si="52"/>
        <v>2.8133578496019411</v>
      </c>
      <c r="AD131" s="81">
        <f t="shared" si="52"/>
        <v>2.8381197309610515</v>
      </c>
    </row>
    <row r="132" spans="2:30" hidden="1" outlineLevel="1">
      <c r="B132" s="22" t="s">
        <v>192</v>
      </c>
      <c r="C132" s="5" t="s">
        <v>315</v>
      </c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222">
        <v>1.5</v>
      </c>
      <c r="U132" s="81">
        <f t="shared" si="52"/>
        <v>1.5132023098461935</v>
      </c>
      <c r="V132" s="81">
        <f t="shared" si="52"/>
        <v>1.5265208203492371</v>
      </c>
      <c r="W132" s="81">
        <f t="shared" si="52"/>
        <v>1.5399565542538478</v>
      </c>
      <c r="X132" s="81">
        <f t="shared" si="52"/>
        <v>1.5535105433064718</v>
      </c>
      <c r="Y132" s="81">
        <f t="shared" si="52"/>
        <v>1.5671838283345121</v>
      </c>
      <c r="Z132" s="81">
        <f t="shared" si="52"/>
        <v>1.580977459326256</v>
      </c>
      <c r="AA132" s="81">
        <f t="shared" si="52"/>
        <v>1.5948924955115047</v>
      </c>
      <c r="AB132" s="81">
        <f t="shared" si="52"/>
        <v>1.6089300054429125</v>
      </c>
      <c r="AC132" s="81">
        <f t="shared" si="52"/>
        <v>1.6230910670780427</v>
      </c>
      <c r="AD132" s="81">
        <f t="shared" si="52"/>
        <v>1.6373767678621449</v>
      </c>
    </row>
    <row r="133" spans="2:30" hidden="1" outlineLevel="1">
      <c r="B133" s="22" t="s">
        <v>193</v>
      </c>
      <c r="C133" s="5" t="s">
        <v>315</v>
      </c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222">
        <v>1.06</v>
      </c>
      <c r="U133" s="81">
        <f t="shared" si="52"/>
        <v>1.0693296322913102</v>
      </c>
      <c r="V133" s="81">
        <f t="shared" si="52"/>
        <v>1.0787413797134608</v>
      </c>
      <c r="W133" s="81">
        <f t="shared" si="52"/>
        <v>1.0882359650060525</v>
      </c>
      <c r="X133" s="81">
        <f t="shared" si="52"/>
        <v>1.0978141172699067</v>
      </c>
      <c r="Y133" s="81">
        <f t="shared" si="52"/>
        <v>1.1074765720230553</v>
      </c>
      <c r="Z133" s="81">
        <f t="shared" si="52"/>
        <v>1.117224071257221</v>
      </c>
      <c r="AA133" s="81">
        <f t="shared" si="52"/>
        <v>1.1270573634947967</v>
      </c>
      <c r="AB133" s="81">
        <f t="shared" si="52"/>
        <v>1.1369772038463248</v>
      </c>
      <c r="AC133" s="81">
        <f t="shared" si="52"/>
        <v>1.1469843540684834</v>
      </c>
      <c r="AD133" s="81">
        <f t="shared" si="52"/>
        <v>1.1570795826225824</v>
      </c>
    </row>
    <row r="134" spans="2:30" hidden="1" outlineLevel="1">
      <c r="B134" s="22" t="s">
        <v>165</v>
      </c>
      <c r="C134" s="5" t="s">
        <v>315</v>
      </c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>
        <f>T126-SUM(T130:T133)</f>
        <v>6.5323259999999976</v>
      </c>
      <c r="U134" s="81">
        <f t="shared" si="52"/>
        <v>6.5898205279122282</v>
      </c>
      <c r="V134" s="81">
        <f t="shared" si="52"/>
        <v>6.6478210962057638</v>
      </c>
      <c r="W134" s="81">
        <f t="shared" si="52"/>
        <v>6.7063321588152105</v>
      </c>
      <c r="X134" s="81">
        <f t="shared" si="52"/>
        <v>6.7653582088766573</v>
      </c>
      <c r="Y134" s="81">
        <f t="shared" si="52"/>
        <v>6.8249037790727094</v>
      </c>
      <c r="Z134" s="81">
        <f t="shared" si="52"/>
        <v>6.8849734419805593</v>
      </c>
      <c r="AA134" s="81">
        <f t="shared" si="52"/>
        <v>6.9455718104231199</v>
      </c>
      <c r="AB134" s="81">
        <f t="shared" si="52"/>
        <v>7.006703537823249</v>
      </c>
      <c r="AC134" s="81">
        <f t="shared" si="52"/>
        <v>7.0683733185610906</v>
      </c>
      <c r="AD134" s="81">
        <f t="shared" si="52"/>
        <v>7.1305858883345641</v>
      </c>
    </row>
    <row r="135" spans="2:30" collapsed="1"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2:30"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41" spans="2:30">
      <c r="B141" s="12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</row>
    <row r="147" spans="2:20">
      <c r="B147" s="77"/>
    </row>
    <row r="151" spans="2:20">
      <c r="B151" s="12"/>
      <c r="C151" s="5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</row>
    <row r="152" spans="2:20">
      <c r="B152" s="12"/>
      <c r="C152" s="5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</row>
    <row r="153" spans="2:20">
      <c r="B153" s="12"/>
      <c r="C153" s="5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</row>
    <row r="154" spans="2:20">
      <c r="B154" s="12"/>
      <c r="C154" s="5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</row>
    <row r="155" spans="2:20">
      <c r="B155" s="12"/>
      <c r="C155" s="5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Scenarios</vt:lpstr>
      <vt:lpstr>Comparable Multiples</vt:lpstr>
      <vt:lpstr>Beta</vt:lpstr>
      <vt:lpstr>DCF Analysis</vt:lpstr>
      <vt:lpstr>Discount Factor</vt:lpstr>
      <vt:lpstr>Non controlling Interest</vt:lpstr>
      <vt:lpstr>IS</vt:lpstr>
      <vt:lpstr>BS</vt:lpstr>
      <vt:lpstr>CFS</vt:lpstr>
      <vt:lpstr>Capex and D&amp;A</vt:lpstr>
      <vt:lpstr>Debt and Acquisition Schedule</vt:lpstr>
      <vt:lpstr>Build-Up</vt:lpstr>
      <vt:lpstr>Macro and Sector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cedroni</dc:creator>
  <cp:lastModifiedBy>Fernando Haidar Mercês</cp:lastModifiedBy>
  <dcterms:created xsi:type="dcterms:W3CDTF">2023-04-08T13:51:18Z</dcterms:created>
  <dcterms:modified xsi:type="dcterms:W3CDTF">2023-08-28T03:31:48Z</dcterms:modified>
</cp:coreProperties>
</file>