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U\5 semester\MS Excel\Sem 10-11\"/>
    </mc:Choice>
  </mc:AlternateContent>
  <xr:revisionPtr revIDLastSave="0" documentId="13_ncr:1_{2861B586-813C-447B-BB9E-20EC385161AD}" xr6:coauthVersionLast="47" xr6:coauthVersionMax="47" xr10:uidLastSave="{00000000-0000-0000-0000-000000000000}"/>
  <bookViews>
    <workbookView xWindow="13875" yWindow="5115" windowWidth="14925" windowHeight="10635" firstSheet="2" activeTab="6" xr2:uid="{BD9232A6-DD18-4575-A5CA-A0C190657957}"/>
  </bookViews>
  <sheets>
    <sheet name="Главный лист" sheetId="6" r:id="rId1"/>
    <sheet name="Вопрос 1" sheetId="7" r:id="rId2"/>
    <sheet name="Вопрос 2" sheetId="8" r:id="rId3"/>
    <sheet name="Вопрос 3" sheetId="9" r:id="rId4"/>
    <sheet name="Вопрос 4" sheetId="10" r:id="rId5"/>
    <sheet name="Вопрос 5" sheetId="16" r:id="rId6"/>
    <sheet name="Вопрос 6" sheetId="1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7" l="1"/>
  <c r="H6" i="17" s="1"/>
  <c r="C38" i="17"/>
  <c r="C34" i="17"/>
  <c r="C40" i="17" s="1"/>
  <c r="C28" i="17"/>
  <c r="C20" i="17"/>
  <c r="G16" i="17"/>
  <c r="H16" i="17" s="1"/>
  <c r="I16" i="17" s="1"/>
  <c r="J16" i="17" s="1"/>
  <c r="L7" i="17" s="1"/>
  <c r="J12" i="17"/>
  <c r="I12" i="17"/>
  <c r="M11" i="17"/>
  <c r="K11" i="17"/>
  <c r="K12" i="17" s="1"/>
  <c r="J11" i="17"/>
  <c r="I11" i="17"/>
  <c r="C11" i="17"/>
  <c r="L9" i="17"/>
  <c r="K8" i="17"/>
  <c r="J8" i="17"/>
  <c r="I8" i="17"/>
  <c r="M8" i="17" s="1"/>
  <c r="M7" i="17"/>
  <c r="M6" i="17"/>
  <c r="E6" i="17"/>
  <c r="E5" i="17"/>
  <c r="M4" i="17"/>
  <c r="L4" i="17"/>
  <c r="C34" i="16"/>
  <c r="C38" i="16"/>
  <c r="C40" i="16"/>
  <c r="C28" i="16"/>
  <c r="C20" i="16"/>
  <c r="G16" i="16"/>
  <c r="H16" i="16" s="1"/>
  <c r="I16" i="16" s="1"/>
  <c r="J16" i="16" s="1"/>
  <c r="L7" i="16" s="1"/>
  <c r="I12" i="16"/>
  <c r="M11" i="16"/>
  <c r="K11" i="16"/>
  <c r="K12" i="16" s="1"/>
  <c r="J11" i="16"/>
  <c r="J12" i="16" s="1"/>
  <c r="I11" i="16"/>
  <c r="C11" i="16"/>
  <c r="H9" i="16"/>
  <c r="H6" i="16" s="1"/>
  <c r="M8" i="16"/>
  <c r="K8" i="16"/>
  <c r="J8" i="16"/>
  <c r="I8" i="16"/>
  <c r="I5" i="16" s="1"/>
  <c r="J5" i="16" s="1"/>
  <c r="K5" i="16" s="1"/>
  <c r="M7" i="16"/>
  <c r="M6" i="16"/>
  <c r="E6" i="16"/>
  <c r="E5" i="16"/>
  <c r="M4" i="16"/>
  <c r="L4" i="16"/>
  <c r="M9" i="17" l="1"/>
  <c r="L6" i="17"/>
  <c r="H12" i="17"/>
  <c r="I5" i="17"/>
  <c r="J5" i="17" s="1"/>
  <c r="K5" i="17" s="1"/>
  <c r="L9" i="16"/>
  <c r="M9" i="16" s="1"/>
  <c r="L6" i="16"/>
  <c r="L5" i="16" s="1"/>
  <c r="H12" i="16"/>
  <c r="L5" i="17" l="1"/>
  <c r="L12" i="17" s="1"/>
  <c r="M12" i="17" s="1"/>
  <c r="L12" i="16"/>
  <c r="M12" i="16" s="1"/>
  <c r="L9" i="10" l="1"/>
  <c r="L12" i="10"/>
  <c r="L7" i="10"/>
  <c r="H16" i="10"/>
  <c r="I16" i="10" s="1"/>
  <c r="J16" i="10" s="1"/>
  <c r="G16" i="10"/>
  <c r="C38" i="10"/>
  <c r="C34" i="10"/>
  <c r="G15" i="9"/>
  <c r="L15" i="8"/>
  <c r="L7" i="8"/>
  <c r="H16" i="8"/>
  <c r="I16" i="8" s="1"/>
  <c r="J16" i="8" s="1"/>
  <c r="G16" i="8"/>
  <c r="J16" i="7"/>
  <c r="I16" i="7"/>
  <c r="H16" i="7"/>
  <c r="G16" i="7"/>
  <c r="M11" i="9"/>
  <c r="L7" i="6"/>
  <c r="M8" i="8"/>
  <c r="C40" i="10"/>
  <c r="C28" i="10"/>
  <c r="C20" i="10"/>
  <c r="I12" i="10"/>
  <c r="M11" i="10"/>
  <c r="K11" i="10"/>
  <c r="K12" i="10" s="1"/>
  <c r="J11" i="10"/>
  <c r="J12" i="10" s="1"/>
  <c r="I11" i="10"/>
  <c r="C11" i="10"/>
  <c r="H9" i="10"/>
  <c r="K8" i="10"/>
  <c r="J8" i="10"/>
  <c r="I8" i="10"/>
  <c r="M8" i="10" s="1"/>
  <c r="M6" i="10"/>
  <c r="E6" i="10"/>
  <c r="E5" i="10"/>
  <c r="M7" i="10" s="1"/>
  <c r="M4" i="10"/>
  <c r="L4" i="10"/>
  <c r="C34" i="9"/>
  <c r="C40" i="9" s="1"/>
  <c r="C28" i="9"/>
  <c r="C20" i="9"/>
  <c r="H12" i="9"/>
  <c r="K11" i="9"/>
  <c r="K12" i="9" s="1"/>
  <c r="J11" i="9"/>
  <c r="J12" i="9" s="1"/>
  <c r="I11" i="9"/>
  <c r="I12" i="9" s="1"/>
  <c r="C11" i="9"/>
  <c r="H9" i="9"/>
  <c r="K8" i="9"/>
  <c r="J8" i="9"/>
  <c r="I8" i="9"/>
  <c r="M8" i="9" s="1"/>
  <c r="M6" i="9"/>
  <c r="H6" i="9"/>
  <c r="L6" i="9" s="1"/>
  <c r="E6" i="9"/>
  <c r="E5" i="9"/>
  <c r="M7" i="9" s="1"/>
  <c r="M4" i="9"/>
  <c r="L4" i="9"/>
  <c r="C34" i="8"/>
  <c r="C40" i="8" s="1"/>
  <c r="C28" i="8"/>
  <c r="C20" i="8"/>
  <c r="J12" i="8"/>
  <c r="I12" i="8"/>
  <c r="M11" i="8"/>
  <c r="K11" i="8"/>
  <c r="K12" i="8" s="1"/>
  <c r="J11" i="8"/>
  <c r="I11" i="8"/>
  <c r="C11" i="8"/>
  <c r="H9" i="8"/>
  <c r="K8" i="8"/>
  <c r="J8" i="8"/>
  <c r="I8" i="8"/>
  <c r="M6" i="8"/>
  <c r="H6" i="8"/>
  <c r="L6" i="8" s="1"/>
  <c r="I5" i="8"/>
  <c r="J5" i="8" s="1"/>
  <c r="K5" i="8" s="1"/>
  <c r="E5" i="8"/>
  <c r="E6" i="8" s="1"/>
  <c r="M4" i="8"/>
  <c r="L4" i="8"/>
  <c r="L7" i="7"/>
  <c r="M7" i="7"/>
  <c r="C34" i="7"/>
  <c r="L9" i="7" s="1"/>
  <c r="M9" i="7" s="1"/>
  <c r="C28" i="7"/>
  <c r="C20" i="7"/>
  <c r="K12" i="7"/>
  <c r="J12" i="7"/>
  <c r="I12" i="7"/>
  <c r="H12" i="7"/>
  <c r="M11" i="7"/>
  <c r="K11" i="7"/>
  <c r="J11" i="7"/>
  <c r="I11" i="7"/>
  <c r="C11" i="7"/>
  <c r="H9" i="7"/>
  <c r="K8" i="7"/>
  <c r="J8" i="7"/>
  <c r="I8" i="7"/>
  <c r="I5" i="7" s="1"/>
  <c r="J5" i="7" s="1"/>
  <c r="K5" i="7" s="1"/>
  <c r="L5" i="7" s="1"/>
  <c r="M6" i="7"/>
  <c r="H6" i="7"/>
  <c r="L6" i="7" s="1"/>
  <c r="E6" i="7"/>
  <c r="E5" i="7"/>
  <c r="M4" i="7"/>
  <c r="L4" i="7"/>
  <c r="C20" i="6"/>
  <c r="C34" i="6"/>
  <c r="L9" i="6" s="1"/>
  <c r="C28" i="6"/>
  <c r="E5" i="6"/>
  <c r="E6" i="6" s="1"/>
  <c r="C11" i="6"/>
  <c r="M11" i="6"/>
  <c r="K11" i="6"/>
  <c r="K12" i="6" s="1"/>
  <c r="J11" i="6"/>
  <c r="J12" i="6" s="1"/>
  <c r="I11" i="6"/>
  <c r="I12" i="6" s="1"/>
  <c r="H9" i="6"/>
  <c r="H6" i="6" s="1"/>
  <c r="K8" i="6"/>
  <c r="J8" i="6"/>
  <c r="I8" i="6"/>
  <c r="I5" i="6" s="1"/>
  <c r="M6" i="6"/>
  <c r="M4" i="6"/>
  <c r="L4" i="6"/>
  <c r="M9" i="10" l="1"/>
  <c r="H6" i="10"/>
  <c r="I5" i="10"/>
  <c r="J5" i="10" s="1"/>
  <c r="K5" i="10" s="1"/>
  <c r="L12" i="9"/>
  <c r="M12" i="9" s="1"/>
  <c r="L7" i="9"/>
  <c r="L9" i="9"/>
  <c r="M9" i="9" s="1"/>
  <c r="I5" i="9"/>
  <c r="J5" i="9" s="1"/>
  <c r="K5" i="9" s="1"/>
  <c r="L5" i="9" s="1"/>
  <c r="L5" i="8"/>
  <c r="L12" i="8"/>
  <c r="M7" i="8"/>
  <c r="L9" i="8"/>
  <c r="M9" i="8" s="1"/>
  <c r="H12" i="8"/>
  <c r="L12" i="7"/>
  <c r="M12" i="7" s="1"/>
  <c r="M8" i="7"/>
  <c r="C40" i="7"/>
  <c r="J5" i="6"/>
  <c r="K5" i="6" s="1"/>
  <c r="M7" i="6"/>
  <c r="M9" i="6"/>
  <c r="M8" i="6"/>
  <c r="H12" i="6"/>
  <c r="L6" i="6"/>
  <c r="C40" i="6"/>
  <c r="L6" i="10" l="1"/>
  <c r="H12" i="10"/>
  <c r="M12" i="8"/>
  <c r="L12" i="6"/>
  <c r="M12" i="6" s="1"/>
  <c r="L5" i="6"/>
  <c r="L5" i="10" l="1"/>
  <c r="M12" i="10" s="1"/>
</calcChain>
</file>

<file path=xl/sharedStrings.xml><?xml version="1.0" encoding="utf-8"?>
<sst xmlns="http://schemas.openxmlformats.org/spreadsheetml/2006/main" count="301" uniqueCount="36">
  <si>
    <t>Эффективность (годовая)</t>
  </si>
  <si>
    <t>Депозит</t>
  </si>
  <si>
    <t>накопительный счет (купон)</t>
  </si>
  <si>
    <t>Инвестиционный счет</t>
  </si>
  <si>
    <t>Портфель</t>
  </si>
  <si>
    <t>Облигации</t>
  </si>
  <si>
    <t>Акции</t>
  </si>
  <si>
    <t>Опцион</t>
  </si>
  <si>
    <t>Обязательства</t>
  </si>
  <si>
    <t>Итог агрегированный поток</t>
  </si>
  <si>
    <t>Расчет портфеля</t>
  </si>
  <si>
    <t>Фин риск</t>
  </si>
  <si>
    <t>x0</t>
  </si>
  <si>
    <t>Купон</t>
  </si>
  <si>
    <t>Ставка</t>
  </si>
  <si>
    <t>Ожидаемая доходность</t>
  </si>
  <si>
    <t>xm</t>
  </si>
  <si>
    <t>Курс облигации</t>
  </si>
  <si>
    <t>Эффективная ставка</t>
  </si>
  <si>
    <t>Риск инвестора</t>
  </si>
  <si>
    <t>доходность</t>
  </si>
  <si>
    <t>Рын стоимость</t>
  </si>
  <si>
    <t>Периодов</t>
  </si>
  <si>
    <t>Безриск. ставка (инвест счет)</t>
  </si>
  <si>
    <t>Номинал</t>
  </si>
  <si>
    <t>Инвестиции</t>
  </si>
  <si>
    <t>Сумма</t>
  </si>
  <si>
    <t>Цена исполнения</t>
  </si>
  <si>
    <t>Годовая % ставка</t>
  </si>
  <si>
    <t>Рыночная стоимость</t>
  </si>
  <si>
    <t>Цена опциона за акцию</t>
  </si>
  <si>
    <t>Кол-во периодов</t>
  </si>
  <si>
    <t>Объем</t>
  </si>
  <si>
    <t>Итог опцион</t>
  </si>
  <si>
    <t>Итоговая сумма выплат</t>
  </si>
  <si>
    <t>Эффект(мес)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</si>
</sst>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₽&quot;;[Red]\-#,##0.00\ &quot;₽&quot;"/>
    <numFmt numFmtId="44" formatCode="_-* #,##0.00\ &quot;₽&quot;_-;\-* #,##0.00\ &quot;₽&quot;_-;_-* &quot;-&quot;??\ &quot;₽&quot;_-;_-@_-"/>
    <numFmt numFmtId="164" formatCode="0.0%"/>
    <numFmt numFmtId="165" formatCode="0.000%"/>
    <numFmt numFmtId="169" formatCode="0.0"/>
    <numFmt numFmtId="193" formatCode="#,##0.0\ &quot;₽&quot;;[Red]\-#,##0.0\ &quot;₽&quot;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Fill="1" applyBorder="1"/>
    <xf numFmtId="0" fontId="0" fillId="0" borderId="11" xfId="0" applyFill="1" applyBorder="1"/>
    <xf numFmtId="9" fontId="0" fillId="0" borderId="12" xfId="0" applyNumberFormat="1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2" xfId="0" applyFill="1" applyBorder="1"/>
    <xf numFmtId="2" fontId="0" fillId="0" borderId="12" xfId="1" applyNumberFormat="1" applyFont="1" applyFill="1" applyBorder="1"/>
    <xf numFmtId="0" fontId="0" fillId="0" borderId="15" xfId="1" applyNumberFormat="1" applyFont="1" applyFill="1" applyBorder="1"/>
    <xf numFmtId="4" fontId="0" fillId="0" borderId="12" xfId="0" applyNumberFormat="1" applyFill="1" applyBorder="1"/>
    <xf numFmtId="3" fontId="0" fillId="0" borderId="12" xfId="0" applyNumberFormat="1" applyFill="1" applyBorder="1"/>
    <xf numFmtId="4" fontId="0" fillId="0" borderId="15" xfId="0" applyNumberFormat="1" applyFill="1" applyBorder="1"/>
    <xf numFmtId="2" fontId="0" fillId="0" borderId="12" xfId="0" applyNumberFormat="1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2" fontId="0" fillId="0" borderId="19" xfId="0" applyNumberFormat="1" applyFill="1" applyBorder="1"/>
    <xf numFmtId="9" fontId="0" fillId="0" borderId="2" xfId="0" applyNumberFormat="1" applyFill="1" applyBorder="1"/>
    <xf numFmtId="0" fontId="0" fillId="0" borderId="20" xfId="0" applyFill="1" applyBorder="1"/>
    <xf numFmtId="2" fontId="0" fillId="0" borderId="21" xfId="0" applyNumberFormat="1" applyFill="1" applyBorder="1"/>
    <xf numFmtId="9" fontId="0" fillId="0" borderId="5" xfId="0" applyNumberFormat="1" applyFill="1" applyBorder="1"/>
    <xf numFmtId="9" fontId="0" fillId="0" borderId="22" xfId="0" applyNumberFormat="1" applyFill="1" applyBorder="1"/>
    <xf numFmtId="9" fontId="0" fillId="0" borderId="23" xfId="0" applyNumberFormat="1" applyFill="1" applyBorder="1"/>
    <xf numFmtId="165" fontId="0" fillId="0" borderId="15" xfId="2" applyNumberFormat="1" applyFont="1" applyFill="1" applyBorder="1"/>
    <xf numFmtId="164" fontId="0" fillId="0" borderId="20" xfId="2" applyNumberFormat="1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25" xfId="0" applyFill="1" applyBorder="1"/>
    <xf numFmtId="2" fontId="0" fillId="0" borderId="1" xfId="0" applyNumberFormat="1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12" xfId="0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0" borderId="20" xfId="0" applyFill="1" applyBorder="1" applyAlignment="1">
      <alignment horizontal="right" vertical="center"/>
    </xf>
    <xf numFmtId="164" fontId="0" fillId="0" borderId="12" xfId="0" applyNumberFormat="1" applyFill="1" applyBorder="1" applyAlignment="1">
      <alignment horizontal="right" vertical="center"/>
    </xf>
    <xf numFmtId="2" fontId="0" fillId="0" borderId="22" xfId="0" applyNumberFormat="1" applyFill="1" applyBorder="1" applyAlignment="1">
      <alignment horizontal="right" vertical="center"/>
    </xf>
    <xf numFmtId="8" fontId="0" fillId="0" borderId="20" xfId="0" applyNumberFormat="1" applyFill="1" applyBorder="1" applyAlignment="1">
      <alignment horizontal="right" vertical="center"/>
    </xf>
    <xf numFmtId="10" fontId="0" fillId="0" borderId="12" xfId="0" applyNumberFormat="1" applyFill="1" applyBorder="1" applyAlignment="1">
      <alignment horizontal="right" vertical="center"/>
    </xf>
    <xf numFmtId="9" fontId="0" fillId="0" borderId="12" xfId="0" applyNumberFormat="1" applyFill="1" applyBorder="1" applyAlignment="1">
      <alignment horizontal="right" vertical="center"/>
    </xf>
    <xf numFmtId="2" fontId="0" fillId="0" borderId="2" xfId="0" applyNumberFormat="1" applyFill="1" applyBorder="1" applyAlignment="1">
      <alignment horizontal="right" vertical="center"/>
    </xf>
    <xf numFmtId="2" fontId="0" fillId="0" borderId="3" xfId="0" applyNumberFormat="1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2" fontId="2" fillId="0" borderId="22" xfId="0" applyNumberFormat="1" applyFont="1" applyFill="1" applyBorder="1" applyAlignment="1">
      <alignment horizontal="right" vertical="center"/>
    </xf>
    <xf numFmtId="2" fontId="2" fillId="0" borderId="20" xfId="0" applyNumberFormat="1" applyFont="1" applyFill="1" applyBorder="1" applyAlignment="1">
      <alignment horizontal="right" vertical="center"/>
    </xf>
    <xf numFmtId="10" fontId="0" fillId="0" borderId="12" xfId="2" applyNumberFormat="1" applyFont="1" applyFill="1" applyBorder="1" applyAlignment="1">
      <alignment horizontal="right" vertical="center"/>
    </xf>
    <xf numFmtId="2" fontId="0" fillId="0" borderId="21" xfId="0" applyNumberFormat="1" applyFill="1" applyBorder="1" applyAlignment="1">
      <alignment horizontal="right" vertical="center"/>
    </xf>
    <xf numFmtId="2" fontId="2" fillId="0" borderId="23" xfId="0" applyNumberFormat="1" applyFont="1" applyFill="1" applyBorder="1" applyAlignment="1">
      <alignment horizontal="right" vertical="center"/>
    </xf>
    <xf numFmtId="2" fontId="2" fillId="0" borderId="21" xfId="0" applyNumberFormat="1" applyFont="1" applyFill="1" applyBorder="1" applyAlignment="1">
      <alignment horizontal="right" vertical="center"/>
    </xf>
    <xf numFmtId="8" fontId="0" fillId="2" borderId="9" xfId="0" applyNumberFormat="1" applyFill="1" applyBorder="1" applyAlignment="1">
      <alignment horizontal="right" vertical="center"/>
    </xf>
    <xf numFmtId="10" fontId="0" fillId="2" borderId="10" xfId="0" applyNumberFormat="1" applyFill="1" applyBorder="1" applyAlignment="1">
      <alignment horizontal="right" vertic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2" fontId="0" fillId="0" borderId="2" xfId="0" applyNumberFormat="1" applyFill="1" applyBorder="1" applyAlignment="1">
      <alignment horizontal="right" vertical="center"/>
    </xf>
    <xf numFmtId="2" fontId="0" fillId="0" borderId="3" xfId="0" applyNumberFormat="1" applyFill="1" applyBorder="1" applyAlignment="1">
      <alignment horizontal="right" vertical="center"/>
    </xf>
    <xf numFmtId="10" fontId="0" fillId="0" borderId="26" xfId="0" applyNumberFormat="1" applyFill="1" applyBorder="1" applyAlignment="1">
      <alignment horizontal="right" vertical="center"/>
    </xf>
    <xf numFmtId="10" fontId="0" fillId="0" borderId="27" xfId="0" applyNumberForma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29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9" xfId="0" applyFill="1" applyBorder="1"/>
    <xf numFmtId="169" fontId="0" fillId="2" borderId="10" xfId="0" applyNumberFormat="1" applyFill="1" applyBorder="1"/>
    <xf numFmtId="9" fontId="0" fillId="3" borderId="12" xfId="0" applyNumberFormat="1" applyFill="1" applyBorder="1"/>
    <xf numFmtId="4" fontId="0" fillId="4" borderId="15" xfId="0" applyNumberFormat="1" applyFill="1" applyBorder="1"/>
    <xf numFmtId="4" fontId="0" fillId="4" borderId="12" xfId="0" applyNumberFormat="1" applyFill="1" applyBorder="1"/>
    <xf numFmtId="2" fontId="0" fillId="4" borderId="20" xfId="0" applyNumberFormat="1" applyFill="1" applyBorder="1" applyAlignment="1">
      <alignment horizontal="right" vertical="center"/>
    </xf>
    <xf numFmtId="169" fontId="0" fillId="4" borderId="10" xfId="0" applyNumberFormat="1" applyFill="1" applyBorder="1"/>
    <xf numFmtId="8" fontId="0" fillId="2" borderId="28" xfId="0" applyNumberFormat="1" applyFill="1" applyBorder="1"/>
    <xf numFmtId="0" fontId="4" fillId="0" borderId="0" xfId="0" applyFont="1"/>
    <xf numFmtId="169" fontId="0" fillId="0" borderId="10" xfId="0" applyNumberFormat="1" applyFill="1" applyBorder="1"/>
    <xf numFmtId="10" fontId="0" fillId="0" borderId="10" xfId="0" applyNumberFormat="1" applyFill="1" applyBorder="1" applyAlignment="1">
      <alignment horizontal="right" vertical="center"/>
    </xf>
    <xf numFmtId="8" fontId="0" fillId="0" borderId="9" xfId="0" applyNumberFormat="1" applyFill="1" applyBorder="1" applyAlignment="1">
      <alignment horizontal="right" vertical="center"/>
    </xf>
    <xf numFmtId="2" fontId="0" fillId="2" borderId="12" xfId="0" applyNumberFormat="1" applyFill="1" applyBorder="1"/>
    <xf numFmtId="8" fontId="0" fillId="4" borderId="9" xfId="0" applyNumberFormat="1" applyFill="1" applyBorder="1" applyAlignment="1">
      <alignment horizontal="right" vertical="center"/>
    </xf>
    <xf numFmtId="2" fontId="0" fillId="2" borderId="20" xfId="0" applyNumberFormat="1" applyFill="1" applyBorder="1" applyAlignment="1">
      <alignment horizontal="right" vertical="center"/>
    </xf>
    <xf numFmtId="10" fontId="0" fillId="4" borderId="12" xfId="0" applyNumberFormat="1" applyFill="1" applyBorder="1" applyAlignment="1">
      <alignment horizontal="right" vertical="center"/>
    </xf>
    <xf numFmtId="193" fontId="0" fillId="2" borderId="9" xfId="0" applyNumberFormat="1" applyFill="1" applyBorder="1" applyAlignment="1">
      <alignment horizontal="right" vertical="center"/>
    </xf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51C1-8EA0-4A0C-BE59-B4B963C05F80}">
  <dimension ref="B1:M40"/>
  <sheetViews>
    <sheetView workbookViewId="0">
      <selection activeCell="M24" sqref="M24"/>
    </sheetView>
  </sheetViews>
  <sheetFormatPr defaultRowHeight="15" x14ac:dyDescent="0.25"/>
  <cols>
    <col min="1" max="1" width="13" customWidth="1"/>
    <col min="2" max="2" width="27.85546875" bestFit="1" customWidth="1"/>
    <col min="3" max="3" width="10" bestFit="1" customWidth="1"/>
    <col min="4" max="4" width="12.5703125" bestFit="1" customWidth="1"/>
    <col min="5" max="5" width="7.140625" bestFit="1" customWidth="1"/>
    <col min="6" max="6" width="12.5703125" customWidth="1"/>
    <col min="7" max="7" width="27.5703125" bestFit="1" customWidth="1"/>
    <col min="8" max="8" width="10.28515625" bestFit="1" customWidth="1"/>
    <col min="9" max="9" width="9.28515625" bestFit="1" customWidth="1"/>
    <col min="10" max="10" width="12" bestFit="1" customWidth="1"/>
    <col min="11" max="11" width="9.5703125" bestFit="1" customWidth="1"/>
    <col min="12" max="12" width="12" bestFit="1" customWidth="1"/>
    <col min="13" max="14" width="24.28515625" bestFit="1" customWidth="1"/>
  </cols>
  <sheetData>
    <row r="1" spans="2:13" ht="15.75" thickBot="1" x14ac:dyDescent="0.3"/>
    <row r="2" spans="2:13" x14ac:dyDescent="0.25">
      <c r="B2" s="54" t="s">
        <v>10</v>
      </c>
      <c r="C2" s="62"/>
      <c r="D2" s="62"/>
      <c r="E2" s="55"/>
      <c r="F2" s="1"/>
      <c r="G2" s="56"/>
      <c r="H2" s="27">
        <v>0</v>
      </c>
      <c r="I2" s="27">
        <v>1</v>
      </c>
      <c r="J2" s="27">
        <v>2</v>
      </c>
      <c r="K2" s="27">
        <v>3</v>
      </c>
      <c r="L2" s="27">
        <v>4</v>
      </c>
      <c r="M2" s="28" t="s">
        <v>0</v>
      </c>
    </row>
    <row r="3" spans="2:13" x14ac:dyDescent="0.25">
      <c r="B3" s="14" t="s">
        <v>11</v>
      </c>
      <c r="C3" s="22">
        <v>0.25</v>
      </c>
      <c r="D3" s="1" t="s">
        <v>12</v>
      </c>
      <c r="E3" s="3">
        <v>0.6</v>
      </c>
      <c r="F3" s="1"/>
      <c r="G3" s="57"/>
      <c r="H3" s="30">
        <v>-420000</v>
      </c>
      <c r="I3" s="31"/>
      <c r="J3" s="32"/>
      <c r="K3" s="32"/>
      <c r="L3" s="32"/>
      <c r="M3" s="33"/>
    </row>
    <row r="4" spans="2:13" x14ac:dyDescent="0.25">
      <c r="B4" s="2" t="s">
        <v>15</v>
      </c>
      <c r="C4" s="23">
        <v>0.1</v>
      </c>
      <c r="D4" s="1" t="s">
        <v>16</v>
      </c>
      <c r="E4" s="3">
        <v>0.4</v>
      </c>
      <c r="F4" s="1"/>
      <c r="G4" s="16" t="s">
        <v>1</v>
      </c>
      <c r="H4" s="34">
        <v>-20000</v>
      </c>
      <c r="I4" s="35"/>
      <c r="J4" s="36"/>
      <c r="K4" s="36"/>
      <c r="L4" s="36">
        <f>-H4*(1+$C$10/12)^48</f>
        <v>27513.322008675819</v>
      </c>
      <c r="M4" s="37">
        <f>EFFECT(C10,12)</f>
        <v>8.2999506807510004E-2</v>
      </c>
    </row>
    <row r="5" spans="2:13" x14ac:dyDescent="0.25">
      <c r="B5" s="2" t="s">
        <v>19</v>
      </c>
      <c r="C5" s="23">
        <v>0.1</v>
      </c>
      <c r="D5" s="1" t="s">
        <v>20</v>
      </c>
      <c r="E5" s="3">
        <f>E3*C6+E4*C4</f>
        <v>7.0000000000000007E-2</v>
      </c>
      <c r="F5" s="1"/>
      <c r="G5" s="16" t="s">
        <v>2</v>
      </c>
      <c r="H5" s="34"/>
      <c r="I5" s="38">
        <f>I8*(1+D10/12)^12</f>
        <v>4204.6475915269339</v>
      </c>
      <c r="J5" s="36">
        <f>(I5+J8)*(1+D10/12)^12</f>
        <v>8624.4129337602444</v>
      </c>
      <c r="K5" s="34">
        <f>(J5+K8)*(1+D10/12)^12</f>
        <v>118386.49164726747</v>
      </c>
      <c r="L5" s="39">
        <f>K5+L6</f>
        <v>234371.55037468247</v>
      </c>
      <c r="M5" s="33"/>
    </row>
    <row r="6" spans="2:13" ht="15.75" thickBot="1" x14ac:dyDescent="0.3">
      <c r="B6" s="4" t="s">
        <v>23</v>
      </c>
      <c r="C6" s="24">
        <v>0.05</v>
      </c>
      <c r="D6" s="5" t="s">
        <v>35</v>
      </c>
      <c r="E6" s="25">
        <f>EFFECT(E5,12)</f>
        <v>7.2290080856235894E-2</v>
      </c>
      <c r="F6" s="1"/>
      <c r="G6" s="16" t="s">
        <v>3</v>
      </c>
      <c r="H6" s="34">
        <f>-(H7+H8+H9+C13+H10)</f>
        <v>-95000</v>
      </c>
      <c r="I6" s="38"/>
      <c r="J6" s="34"/>
      <c r="K6" s="36"/>
      <c r="L6" s="39">
        <f>FV(D10/12,4*12,,H6)</f>
        <v>115985.05872741499</v>
      </c>
      <c r="M6" s="40">
        <f>EFFECT(D10,12)</f>
        <v>5.116189788173342E-2</v>
      </c>
    </row>
    <row r="7" spans="2:13" x14ac:dyDescent="0.25">
      <c r="B7" s="1"/>
      <c r="C7" s="1"/>
      <c r="D7" s="1"/>
      <c r="E7" s="1"/>
      <c r="F7" s="1"/>
      <c r="G7" s="16" t="s">
        <v>4</v>
      </c>
      <c r="H7" s="34">
        <v>-100000</v>
      </c>
      <c r="I7" s="35"/>
      <c r="J7" s="36"/>
      <c r="K7" s="36"/>
      <c r="L7" s="34">
        <f>-H7*(1+E5)</f>
        <v>107000</v>
      </c>
      <c r="M7" s="40">
        <f>(1+E5)^(1/4)-1</f>
        <v>1.7058525001811375E-2</v>
      </c>
    </row>
    <row r="8" spans="2:13" ht="15.75" thickBot="1" x14ac:dyDescent="0.3">
      <c r="B8" s="1"/>
      <c r="C8" s="1"/>
      <c r="D8" s="1"/>
      <c r="E8" s="1"/>
      <c r="F8" s="1"/>
      <c r="G8" s="16" t="s">
        <v>5</v>
      </c>
      <c r="H8" s="34">
        <v>-100000</v>
      </c>
      <c r="I8" s="38">
        <f>C26*C24</f>
        <v>4000</v>
      </c>
      <c r="J8" s="34">
        <f>C26*C24</f>
        <v>4000</v>
      </c>
      <c r="K8" s="34">
        <f>C26*C24+C26</f>
        <v>104000</v>
      </c>
      <c r="L8" s="36"/>
      <c r="M8" s="41">
        <f>IRR(H8:K8)</f>
        <v>4.0000000000000036E-2</v>
      </c>
    </row>
    <row r="9" spans="2:13" x14ac:dyDescent="0.25">
      <c r="B9" s="54" t="s">
        <v>3</v>
      </c>
      <c r="C9" s="62"/>
      <c r="D9" s="55"/>
      <c r="E9" s="1"/>
      <c r="F9" s="1"/>
      <c r="G9" s="15" t="s">
        <v>6</v>
      </c>
      <c r="H9" s="42">
        <f>-C32</f>
        <v>-100000</v>
      </c>
      <c r="I9" s="31"/>
      <c r="J9" s="32"/>
      <c r="K9" s="32"/>
      <c r="L9" s="58">
        <f>C34*C38</f>
        <v>90000</v>
      </c>
      <c r="M9" s="60">
        <f>(-L9/(H9+H10))^(1/4)-1</f>
        <v>-3.7804541804238534E-2</v>
      </c>
    </row>
    <row r="10" spans="2:13" x14ac:dyDescent="0.25">
      <c r="B10" s="15" t="s">
        <v>14</v>
      </c>
      <c r="C10" s="19">
        <v>0.08</v>
      </c>
      <c r="D10" s="3">
        <v>0.05</v>
      </c>
      <c r="E10" s="1"/>
      <c r="F10" s="1"/>
      <c r="G10" s="29" t="s">
        <v>7</v>
      </c>
      <c r="H10" s="43">
        <v>-5000</v>
      </c>
      <c r="I10" s="44"/>
      <c r="J10" s="45"/>
      <c r="K10" s="45"/>
      <c r="L10" s="59"/>
      <c r="M10" s="61"/>
    </row>
    <row r="11" spans="2:13" x14ac:dyDescent="0.25">
      <c r="B11" s="16" t="s">
        <v>18</v>
      </c>
      <c r="C11" s="26">
        <f>EFFECT(C10,12)</f>
        <v>8.2999506807510004E-2</v>
      </c>
      <c r="D11" s="7"/>
      <c r="E11" s="1"/>
      <c r="F11" s="1"/>
      <c r="G11" s="16" t="s">
        <v>8</v>
      </c>
      <c r="H11" s="34">
        <v>150000</v>
      </c>
      <c r="I11" s="46">
        <f>PMT(C18,C19,C17,,0)</f>
        <v>-62452.347083926034</v>
      </c>
      <c r="J11" s="47">
        <f>PMT(C18,C19,C17,,0)</f>
        <v>-62452.347083926034</v>
      </c>
      <c r="K11" s="47">
        <f>PMT(C18,C19,C17,,0)</f>
        <v>-62452.347083926034</v>
      </c>
      <c r="L11" s="36"/>
      <c r="M11" s="48">
        <f>EFFECT(C18,1)</f>
        <v>0.12000000000000011</v>
      </c>
    </row>
    <row r="12" spans="2:13" ht="15.75" thickBot="1" x14ac:dyDescent="0.3">
      <c r="B12" s="16" t="s">
        <v>22</v>
      </c>
      <c r="C12" s="20">
        <v>12</v>
      </c>
      <c r="D12" s="7"/>
      <c r="E12" s="1"/>
      <c r="F12" s="1"/>
      <c r="G12" s="17" t="s">
        <v>9</v>
      </c>
      <c r="H12" s="49">
        <f>SUM(H4:H11)</f>
        <v>-270000</v>
      </c>
      <c r="I12" s="50">
        <f>I11</f>
        <v>-62452.347083926034</v>
      </c>
      <c r="J12" s="51">
        <f>J11</f>
        <v>-62452.347083926034</v>
      </c>
      <c r="K12" s="51">
        <f>K11</f>
        <v>-62452.347083926034</v>
      </c>
      <c r="L12" s="52">
        <f>SUM(L4:L10)-L6</f>
        <v>458884.87238335825</v>
      </c>
      <c r="M12" s="53">
        <f>IRR(H12:L12)</f>
        <v>1.0488472549057271E-3</v>
      </c>
    </row>
    <row r="13" spans="2:13" ht="15.75" thickBot="1" x14ac:dyDescent="0.3">
      <c r="B13" s="18" t="s">
        <v>25</v>
      </c>
      <c r="C13" s="21">
        <v>400000</v>
      </c>
      <c r="D13" s="6"/>
      <c r="E13" s="1"/>
      <c r="F13" s="1"/>
      <c r="G13" s="1"/>
      <c r="H13" s="1"/>
      <c r="I13" s="1"/>
      <c r="J13" s="1"/>
      <c r="K13" s="1"/>
      <c r="L13" s="1"/>
      <c r="M13" s="1"/>
    </row>
    <row r="14" spans="2:1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 ht="15.75" thickBot="1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2:13" x14ac:dyDescent="0.25">
      <c r="B16" s="63" t="s">
        <v>8</v>
      </c>
      <c r="C16" s="64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5">
      <c r="B17" s="15" t="s">
        <v>26</v>
      </c>
      <c r="C17" s="10">
        <v>150000</v>
      </c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5">
      <c r="B18" s="16" t="s">
        <v>28</v>
      </c>
      <c r="C18" s="3">
        <v>0.12</v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5">
      <c r="B19" s="16" t="s">
        <v>31</v>
      </c>
      <c r="C19" s="11">
        <v>3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3" ht="15.75" thickBot="1" x14ac:dyDescent="0.3">
      <c r="B20" s="17" t="s">
        <v>34</v>
      </c>
      <c r="C20" s="12">
        <f>C17*(1+C18/12)^36</f>
        <v>214615.31753873714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3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3" ht="15.75" thickBot="1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 x14ac:dyDescent="0.25">
      <c r="B23" s="54" t="s">
        <v>5</v>
      </c>
      <c r="C23" s="55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3" x14ac:dyDescent="0.25">
      <c r="B24" s="15" t="s">
        <v>13</v>
      </c>
      <c r="C24" s="3">
        <v>0.04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3" x14ac:dyDescent="0.25">
      <c r="B25" s="16" t="s">
        <v>17</v>
      </c>
      <c r="C25" s="7">
        <v>1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3" x14ac:dyDescent="0.25">
      <c r="B26" s="16" t="s">
        <v>21</v>
      </c>
      <c r="C26" s="8">
        <v>100000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3" x14ac:dyDescent="0.25">
      <c r="B27" s="16" t="s">
        <v>24</v>
      </c>
      <c r="C27" s="8">
        <v>100000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3" ht="15.75" thickBot="1" x14ac:dyDescent="0.3">
      <c r="B28" s="17" t="s">
        <v>13</v>
      </c>
      <c r="C28" s="9">
        <f>C24*C27</f>
        <v>4000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3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3" ht="15.75" thickBot="1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3" x14ac:dyDescent="0.25">
      <c r="B31" s="54" t="s">
        <v>6</v>
      </c>
      <c r="C31" s="55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3" x14ac:dyDescent="0.25">
      <c r="B32" s="15" t="s">
        <v>26</v>
      </c>
      <c r="C32" s="13">
        <v>100000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x14ac:dyDescent="0.25">
      <c r="B33" s="16" t="s">
        <v>29</v>
      </c>
      <c r="C33" s="13">
        <v>10000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 ht="15.75" thickBot="1" x14ac:dyDescent="0.3">
      <c r="B34" s="17" t="s">
        <v>32</v>
      </c>
      <c r="C34" s="6">
        <f>C32/C33</f>
        <v>10</v>
      </c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ht="15.75" thickBo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 x14ac:dyDescent="0.25">
      <c r="B37" s="54" t="s">
        <v>7</v>
      </c>
      <c r="C37" s="55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25">
      <c r="B38" s="15" t="s">
        <v>27</v>
      </c>
      <c r="C38" s="7">
        <v>9000</v>
      </c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25">
      <c r="B39" s="16" t="s">
        <v>30</v>
      </c>
      <c r="C39" s="7">
        <v>500</v>
      </c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ht="15.75" thickBot="1" x14ac:dyDescent="0.3">
      <c r="B40" s="17" t="s">
        <v>33</v>
      </c>
      <c r="C40" s="6">
        <f>C39*C34</f>
        <v>5000</v>
      </c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mergeCells count="9">
    <mergeCell ref="B37:C37"/>
    <mergeCell ref="G2:G3"/>
    <mergeCell ref="L9:L10"/>
    <mergeCell ref="M9:M10"/>
    <mergeCell ref="B2:E2"/>
    <mergeCell ref="B23:C23"/>
    <mergeCell ref="B31:C31"/>
    <mergeCell ref="B9:D9"/>
    <mergeCell ref="B16:C16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41FA2-429A-454F-8486-9098734A32D8}">
  <dimension ref="B1:M40"/>
  <sheetViews>
    <sheetView topLeftCell="C1" workbookViewId="0">
      <selection activeCell="I31" sqref="I31"/>
    </sheetView>
  </sheetViews>
  <sheetFormatPr defaultRowHeight="15" x14ac:dyDescent="0.25"/>
  <cols>
    <col min="1" max="1" width="13" customWidth="1"/>
    <col min="2" max="2" width="27.85546875" bestFit="1" customWidth="1"/>
    <col min="3" max="3" width="10" bestFit="1" customWidth="1"/>
    <col min="4" max="4" width="12.5703125" bestFit="1" customWidth="1"/>
    <col min="5" max="5" width="7.140625" bestFit="1" customWidth="1"/>
    <col min="6" max="6" width="12.5703125" customWidth="1"/>
    <col min="7" max="7" width="27.5703125" bestFit="1" customWidth="1"/>
    <col min="8" max="8" width="10.28515625" bestFit="1" customWidth="1"/>
    <col min="9" max="9" width="9.28515625" bestFit="1" customWidth="1"/>
    <col min="10" max="10" width="12.5703125" bestFit="1" customWidth="1"/>
    <col min="11" max="11" width="9.5703125" bestFit="1" customWidth="1"/>
    <col min="12" max="12" width="12" bestFit="1" customWidth="1"/>
    <col min="13" max="14" width="24.28515625" bestFit="1" customWidth="1"/>
  </cols>
  <sheetData>
    <row r="1" spans="2:13" ht="15.75" thickBot="1" x14ac:dyDescent="0.3"/>
    <row r="2" spans="2:13" x14ac:dyDescent="0.25">
      <c r="B2" s="54" t="s">
        <v>10</v>
      </c>
      <c r="C2" s="62"/>
      <c r="D2" s="62"/>
      <c r="E2" s="55"/>
      <c r="F2" s="1"/>
      <c r="G2" s="56"/>
      <c r="H2" s="27">
        <v>0</v>
      </c>
      <c r="I2" s="27">
        <v>1</v>
      </c>
      <c r="J2" s="27">
        <v>2</v>
      </c>
      <c r="K2" s="27">
        <v>3</v>
      </c>
      <c r="L2" s="27">
        <v>4</v>
      </c>
      <c r="M2" s="28" t="s">
        <v>0</v>
      </c>
    </row>
    <row r="3" spans="2:13" x14ac:dyDescent="0.25">
      <c r="B3" s="14" t="s">
        <v>11</v>
      </c>
      <c r="C3" s="22">
        <v>0.25</v>
      </c>
      <c r="D3" s="1" t="s">
        <v>12</v>
      </c>
      <c r="E3" s="3">
        <v>0.6</v>
      </c>
      <c r="F3" s="1"/>
      <c r="G3" s="57"/>
      <c r="H3" s="30">
        <v>-420000</v>
      </c>
      <c r="I3" s="31"/>
      <c r="J3" s="32"/>
      <c r="K3" s="32"/>
      <c r="L3" s="32"/>
      <c r="M3" s="33"/>
    </row>
    <row r="4" spans="2:13" x14ac:dyDescent="0.25">
      <c r="B4" s="2" t="s">
        <v>15</v>
      </c>
      <c r="C4" s="23">
        <v>0.1</v>
      </c>
      <c r="D4" s="1" t="s">
        <v>16</v>
      </c>
      <c r="E4" s="3">
        <v>0.4</v>
      </c>
      <c r="F4" s="1"/>
      <c r="G4" s="16" t="s">
        <v>1</v>
      </c>
      <c r="H4" s="34">
        <v>-20000</v>
      </c>
      <c r="I4" s="35"/>
      <c r="J4" s="36"/>
      <c r="K4" s="36"/>
      <c r="L4" s="36">
        <f>-H4*(1+$C$10/12)^48</f>
        <v>27513.322008675819</v>
      </c>
      <c r="M4" s="37">
        <f>EFFECT(C10,12)</f>
        <v>8.2999506807510004E-2</v>
      </c>
    </row>
    <row r="5" spans="2:13" x14ac:dyDescent="0.25">
      <c r="B5" s="2" t="s">
        <v>19</v>
      </c>
      <c r="C5" s="23">
        <v>0.1</v>
      </c>
      <c r="D5" s="1" t="s">
        <v>20</v>
      </c>
      <c r="E5" s="3">
        <f>E3*C6+E4*C4</f>
        <v>7.0000000000000007E-2</v>
      </c>
      <c r="F5" s="1"/>
      <c r="G5" s="16" t="s">
        <v>2</v>
      </c>
      <c r="H5" s="34"/>
      <c r="I5" s="38">
        <f>I8*(1+D10/12)^12</f>
        <v>4204.6475915269339</v>
      </c>
      <c r="J5" s="36">
        <f>(I5+J8)*(1+D10/12)^12</f>
        <v>8624.4129337602444</v>
      </c>
      <c r="K5" s="34">
        <f>(J5+K8)*(1+D10/12)^12</f>
        <v>118386.49164726747</v>
      </c>
      <c r="L5" s="39">
        <f>K5+L6</f>
        <v>234371.55037468247</v>
      </c>
      <c r="M5" s="33"/>
    </row>
    <row r="6" spans="2:13" ht="15.75" thickBot="1" x14ac:dyDescent="0.3">
      <c r="B6" s="4" t="s">
        <v>23</v>
      </c>
      <c r="C6" s="24">
        <v>0.05</v>
      </c>
      <c r="D6" s="5" t="s">
        <v>35</v>
      </c>
      <c r="E6" s="25">
        <f>EFFECT(E5,12)</f>
        <v>7.2290080856235894E-2</v>
      </c>
      <c r="F6" s="1"/>
      <c r="G6" s="16" t="s">
        <v>3</v>
      </c>
      <c r="H6" s="34">
        <f>-(H7+H8+H9+C13+H10)</f>
        <v>-95000</v>
      </c>
      <c r="I6" s="38"/>
      <c r="J6" s="34"/>
      <c r="K6" s="36"/>
      <c r="L6" s="39">
        <f>FV(D10/12,4*12,,H6)</f>
        <v>115985.05872741499</v>
      </c>
      <c r="M6" s="40">
        <f>EFFECT(D10,12)</f>
        <v>5.116189788173342E-2</v>
      </c>
    </row>
    <row r="7" spans="2:13" x14ac:dyDescent="0.25">
      <c r="B7" s="1"/>
      <c r="C7" s="1"/>
      <c r="D7" s="1"/>
      <c r="E7" s="1"/>
      <c r="F7" s="1"/>
      <c r="G7" s="16" t="s">
        <v>4</v>
      </c>
      <c r="H7" s="34">
        <v>-100000</v>
      </c>
      <c r="I7" s="35"/>
      <c r="J7" s="36"/>
      <c r="K7" s="36"/>
      <c r="L7" s="34">
        <f>-H7*(1+E5)</f>
        <v>107000</v>
      </c>
      <c r="M7" s="40">
        <f>(1+E5)^(1/4)-1</f>
        <v>1.7058525001811375E-2</v>
      </c>
    </row>
    <row r="8" spans="2:13" ht="15.75" thickBot="1" x14ac:dyDescent="0.3">
      <c r="B8" s="1"/>
      <c r="C8" s="1"/>
      <c r="D8" s="1"/>
      <c r="E8" s="1"/>
      <c r="F8" s="1"/>
      <c r="G8" s="16" t="s">
        <v>5</v>
      </c>
      <c r="H8" s="34">
        <v>-100000</v>
      </c>
      <c r="I8" s="38">
        <f>C26*C24</f>
        <v>4000</v>
      </c>
      <c r="J8" s="34">
        <f>C26*C24</f>
        <v>4000</v>
      </c>
      <c r="K8" s="34">
        <f>C26*C24+C26</f>
        <v>104000</v>
      </c>
      <c r="L8" s="36"/>
      <c r="M8" s="41">
        <f>IRR(H8:K8)</f>
        <v>4.0000000000000036E-2</v>
      </c>
    </row>
    <row r="9" spans="2:13" x14ac:dyDescent="0.25">
      <c r="B9" s="54" t="s">
        <v>3</v>
      </c>
      <c r="C9" s="62"/>
      <c r="D9" s="55"/>
      <c r="E9" s="1"/>
      <c r="F9" s="1"/>
      <c r="G9" s="15" t="s">
        <v>6</v>
      </c>
      <c r="H9" s="42">
        <f>-C32</f>
        <v>-100000</v>
      </c>
      <c r="I9" s="31"/>
      <c r="J9" s="32"/>
      <c r="K9" s="32"/>
      <c r="L9" s="58">
        <f>C34*C38</f>
        <v>90000</v>
      </c>
      <c r="M9" s="60">
        <f>(-L9/(H9+H10))^(1/4)-1</f>
        <v>-3.7804541804238534E-2</v>
      </c>
    </row>
    <row r="10" spans="2:13" x14ac:dyDescent="0.25">
      <c r="B10" s="15" t="s">
        <v>14</v>
      </c>
      <c r="C10" s="19">
        <v>0.08</v>
      </c>
      <c r="D10" s="3">
        <v>0.05</v>
      </c>
      <c r="E10" s="1"/>
      <c r="F10" s="1"/>
      <c r="G10" s="29" t="s">
        <v>7</v>
      </c>
      <c r="H10" s="43">
        <v>-5000</v>
      </c>
      <c r="I10" s="44"/>
      <c r="J10" s="45"/>
      <c r="K10" s="45"/>
      <c r="L10" s="59"/>
      <c r="M10" s="61"/>
    </row>
    <row r="11" spans="2:13" x14ac:dyDescent="0.25">
      <c r="B11" s="16" t="s">
        <v>18</v>
      </c>
      <c r="C11" s="26">
        <f>EFFECT(C10,12)</f>
        <v>8.2999506807510004E-2</v>
      </c>
      <c r="D11" s="7"/>
      <c r="E11" s="1"/>
      <c r="F11" s="1"/>
      <c r="G11" s="16" t="s">
        <v>8</v>
      </c>
      <c r="H11" s="34">
        <v>150000</v>
      </c>
      <c r="I11" s="46">
        <f>PMT(C18,C19,C17,,0)</f>
        <v>-62452.347083926034</v>
      </c>
      <c r="J11" s="47">
        <f>PMT(C18,C19,C17,,0)</f>
        <v>-62452.347083926034</v>
      </c>
      <c r="K11" s="47">
        <f>PMT(C18,C19,C17,,0)</f>
        <v>-62452.347083926034</v>
      </c>
      <c r="L11" s="36"/>
      <c r="M11" s="48">
        <f>EFFECT(C18,1)</f>
        <v>0.12000000000000011</v>
      </c>
    </row>
    <row r="12" spans="2:13" ht="15.75" thickBot="1" x14ac:dyDescent="0.3">
      <c r="B12" s="16" t="s">
        <v>22</v>
      </c>
      <c r="C12" s="20">
        <v>12</v>
      </c>
      <c r="D12" s="7"/>
      <c r="E12" s="1"/>
      <c r="F12" s="1"/>
      <c r="G12" s="17" t="s">
        <v>9</v>
      </c>
      <c r="H12" s="49">
        <f>SUM(H4:H11)</f>
        <v>-270000</v>
      </c>
      <c r="I12" s="50">
        <f>I11</f>
        <v>-62452.347083926034</v>
      </c>
      <c r="J12" s="51">
        <f>J11</f>
        <v>-62452.347083926034</v>
      </c>
      <c r="K12" s="51">
        <f>K11</f>
        <v>-62452.347083926034</v>
      </c>
      <c r="L12" s="80">
        <f>SUM(L4:L10)-L6</f>
        <v>458884.87238335825</v>
      </c>
      <c r="M12" s="79">
        <f>IRR(H12:L12)</f>
        <v>1.0488472549057271E-3</v>
      </c>
    </row>
    <row r="13" spans="2:13" ht="15.75" thickBot="1" x14ac:dyDescent="0.3">
      <c r="B13" s="18" t="s">
        <v>25</v>
      </c>
      <c r="C13" s="21">
        <v>400000</v>
      </c>
      <c r="D13" s="6"/>
      <c r="E13" s="1"/>
      <c r="F13" s="1"/>
      <c r="G13" s="1"/>
      <c r="H13" s="1"/>
      <c r="I13" s="1"/>
      <c r="J13" s="1"/>
      <c r="K13" s="1"/>
      <c r="L13" s="1"/>
      <c r="M13" s="1"/>
    </row>
    <row r="14" spans="2:13" ht="15.75" thickBot="1" x14ac:dyDescent="0.3">
      <c r="B14" s="1"/>
      <c r="C14" s="1"/>
      <c r="D14" s="1"/>
      <c r="E14" s="1"/>
      <c r="F14" s="1"/>
      <c r="K14" s="1"/>
      <c r="L14" s="1"/>
      <c r="M14" s="1"/>
    </row>
    <row r="15" spans="2:13" ht="15.75" thickBot="1" x14ac:dyDescent="0.3">
      <c r="B15" s="1"/>
      <c r="C15" s="1"/>
      <c r="D15" s="1"/>
      <c r="E15" s="1"/>
      <c r="F15" s="1"/>
      <c r="G15" s="65">
        <v>1</v>
      </c>
      <c r="H15" s="66">
        <v>2</v>
      </c>
      <c r="I15" s="66">
        <v>3</v>
      </c>
      <c r="J15" s="67">
        <v>4</v>
      </c>
      <c r="K15" s="1"/>
      <c r="L15" s="1"/>
      <c r="M15" s="1"/>
    </row>
    <row r="16" spans="2:13" ht="15.75" thickBot="1" x14ac:dyDescent="0.3">
      <c r="B16" s="63" t="s">
        <v>8</v>
      </c>
      <c r="C16" s="64"/>
      <c r="D16" s="1"/>
      <c r="E16" s="1"/>
      <c r="F16" s="1"/>
      <c r="G16" s="68">
        <f>(-H7*(1+E5))</f>
        <v>107000</v>
      </c>
      <c r="H16" s="69">
        <f>G16*(1+E5)</f>
        <v>114490</v>
      </c>
      <c r="I16" s="69">
        <f>H16*(1+E5)</f>
        <v>122504.3</v>
      </c>
      <c r="J16" s="70">
        <f>I16*(1+E5)</f>
        <v>131079.60100000002</v>
      </c>
      <c r="K16" s="1"/>
      <c r="L16" s="1"/>
      <c r="M16" s="1"/>
    </row>
    <row r="17" spans="2:13" x14ac:dyDescent="0.25">
      <c r="B17" s="15" t="s">
        <v>26</v>
      </c>
      <c r="C17" s="10">
        <v>150000</v>
      </c>
      <c r="D17" s="1"/>
      <c r="E17" s="1"/>
      <c r="F17" s="1"/>
      <c r="K17" s="1"/>
      <c r="L17" s="1"/>
      <c r="M17" s="1"/>
    </row>
    <row r="18" spans="2:13" x14ac:dyDescent="0.25">
      <c r="B18" s="16" t="s">
        <v>28</v>
      </c>
      <c r="C18" s="3">
        <v>0.12</v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5">
      <c r="B19" s="16" t="s">
        <v>31</v>
      </c>
      <c r="C19" s="11">
        <v>3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3" ht="15.75" thickBot="1" x14ac:dyDescent="0.3">
      <c r="B20" s="17" t="s">
        <v>34</v>
      </c>
      <c r="C20" s="12">
        <f>C17*(1+C18/12)^36</f>
        <v>214615.31753873714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3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3" ht="15.75" thickBot="1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 x14ac:dyDescent="0.25">
      <c r="B23" s="54" t="s">
        <v>5</v>
      </c>
      <c r="C23" s="55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3" x14ac:dyDescent="0.25">
      <c r="B24" s="15" t="s">
        <v>13</v>
      </c>
      <c r="C24" s="3">
        <v>0.04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3" x14ac:dyDescent="0.25">
      <c r="B25" s="16" t="s">
        <v>17</v>
      </c>
      <c r="C25" s="7">
        <v>1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3" x14ac:dyDescent="0.25">
      <c r="B26" s="16" t="s">
        <v>21</v>
      </c>
      <c r="C26" s="8">
        <v>100000</v>
      </c>
      <c r="D26" s="1"/>
      <c r="E26" s="1"/>
      <c r="F26" s="1"/>
      <c r="K26" s="1"/>
      <c r="L26" s="1"/>
      <c r="M26" s="1"/>
    </row>
    <row r="27" spans="2:13" x14ac:dyDescent="0.25">
      <c r="B27" s="16" t="s">
        <v>24</v>
      </c>
      <c r="C27" s="8">
        <v>100000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3" ht="15.75" thickBot="1" x14ac:dyDescent="0.3">
      <c r="B28" s="17" t="s">
        <v>13</v>
      </c>
      <c r="C28" s="9">
        <f>C24*C27</f>
        <v>4000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3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3" ht="15.75" thickBot="1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3" x14ac:dyDescent="0.25">
      <c r="B31" s="54" t="s">
        <v>6</v>
      </c>
      <c r="C31" s="55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3" x14ac:dyDescent="0.25">
      <c r="B32" s="15" t="s">
        <v>26</v>
      </c>
      <c r="C32" s="13">
        <v>100000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x14ac:dyDescent="0.25">
      <c r="B33" s="16" t="s">
        <v>29</v>
      </c>
      <c r="C33" s="13">
        <v>10000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 ht="15.75" thickBot="1" x14ac:dyDescent="0.3">
      <c r="B34" s="17" t="s">
        <v>32</v>
      </c>
      <c r="C34" s="6">
        <f>C32/C33</f>
        <v>10</v>
      </c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ht="15.75" thickBo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 x14ac:dyDescent="0.25">
      <c r="B37" s="54" t="s">
        <v>7</v>
      </c>
      <c r="C37" s="55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25">
      <c r="B38" s="15" t="s">
        <v>27</v>
      </c>
      <c r="C38" s="7">
        <v>9000</v>
      </c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25">
      <c r="B39" s="16" t="s">
        <v>30</v>
      </c>
      <c r="C39" s="7">
        <v>500</v>
      </c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ht="15.75" thickBot="1" x14ac:dyDescent="0.3">
      <c r="B40" s="17" t="s">
        <v>33</v>
      </c>
      <c r="C40" s="6">
        <f>C39*C34</f>
        <v>5000</v>
      </c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mergeCells count="9">
    <mergeCell ref="B23:C23"/>
    <mergeCell ref="B31:C31"/>
    <mergeCell ref="B37:C37"/>
    <mergeCell ref="B2:E2"/>
    <mergeCell ref="G2:G3"/>
    <mergeCell ref="B9:D9"/>
    <mergeCell ref="L9:L10"/>
    <mergeCell ref="M9:M10"/>
    <mergeCell ref="B16:C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4F884-911D-460F-A1A4-0ED48FE0E17A}">
  <dimension ref="B1:M40"/>
  <sheetViews>
    <sheetView workbookViewId="0">
      <selection activeCell="M15" sqref="M15"/>
    </sheetView>
  </sheetViews>
  <sheetFormatPr defaultRowHeight="15" x14ac:dyDescent="0.25"/>
  <cols>
    <col min="1" max="1" width="13" customWidth="1"/>
    <col min="2" max="2" width="27.85546875" bestFit="1" customWidth="1"/>
    <col min="3" max="3" width="10" bestFit="1" customWidth="1"/>
    <col min="4" max="4" width="12.5703125" bestFit="1" customWidth="1"/>
    <col min="5" max="5" width="7.140625" bestFit="1" customWidth="1"/>
    <col min="6" max="6" width="12.5703125" customWidth="1"/>
    <col min="7" max="7" width="27.5703125" bestFit="1" customWidth="1"/>
    <col min="8" max="8" width="10.28515625" bestFit="1" customWidth="1"/>
    <col min="9" max="9" width="9.28515625" bestFit="1" customWidth="1"/>
    <col min="10" max="10" width="12" bestFit="1" customWidth="1"/>
    <col min="11" max="11" width="9.5703125" bestFit="1" customWidth="1"/>
    <col min="12" max="12" width="12" bestFit="1" customWidth="1"/>
    <col min="13" max="14" width="24.28515625" bestFit="1" customWidth="1"/>
    <col min="15" max="15" width="12.28515625" bestFit="1" customWidth="1"/>
  </cols>
  <sheetData>
    <row r="1" spans="2:13" ht="15.75" thickBot="1" x14ac:dyDescent="0.3"/>
    <row r="2" spans="2:13" x14ac:dyDescent="0.25">
      <c r="B2" s="54" t="s">
        <v>10</v>
      </c>
      <c r="C2" s="62"/>
      <c r="D2" s="62"/>
      <c r="E2" s="55"/>
      <c r="F2" s="1"/>
      <c r="G2" s="56"/>
      <c r="H2" s="27">
        <v>0</v>
      </c>
      <c r="I2" s="27">
        <v>1</v>
      </c>
      <c r="J2" s="27">
        <v>2</v>
      </c>
      <c r="K2" s="27">
        <v>3</v>
      </c>
      <c r="L2" s="27">
        <v>4</v>
      </c>
      <c r="M2" s="28" t="s">
        <v>0</v>
      </c>
    </row>
    <row r="3" spans="2:13" x14ac:dyDescent="0.25">
      <c r="B3" s="14" t="s">
        <v>11</v>
      </c>
      <c r="C3" s="22">
        <v>0.25</v>
      </c>
      <c r="D3" s="1" t="s">
        <v>12</v>
      </c>
      <c r="E3" s="3">
        <v>0.6</v>
      </c>
      <c r="F3" s="1"/>
      <c r="G3" s="57"/>
      <c r="H3" s="30">
        <v>-420000</v>
      </c>
      <c r="I3" s="31"/>
      <c r="J3" s="32"/>
      <c r="K3" s="32"/>
      <c r="L3" s="32"/>
      <c r="M3" s="33"/>
    </row>
    <row r="4" spans="2:13" x14ac:dyDescent="0.25">
      <c r="B4" s="2" t="s">
        <v>15</v>
      </c>
      <c r="C4" s="23">
        <v>0.1</v>
      </c>
      <c r="D4" s="1" t="s">
        <v>16</v>
      </c>
      <c r="E4" s="3">
        <v>0.4</v>
      </c>
      <c r="F4" s="1"/>
      <c r="G4" s="16" t="s">
        <v>1</v>
      </c>
      <c r="H4" s="34">
        <v>-20000</v>
      </c>
      <c r="I4" s="35"/>
      <c r="J4" s="36"/>
      <c r="K4" s="36"/>
      <c r="L4" s="36">
        <f>-H4*(1+$C$10/12)^48</f>
        <v>27513.322008675819</v>
      </c>
      <c r="M4" s="37">
        <f>EFFECT(C10,12)</f>
        <v>8.2999506807510004E-2</v>
      </c>
    </row>
    <row r="5" spans="2:13" x14ac:dyDescent="0.25">
      <c r="B5" s="2" t="s">
        <v>19</v>
      </c>
      <c r="C5" s="23">
        <v>0.1</v>
      </c>
      <c r="D5" s="1" t="s">
        <v>20</v>
      </c>
      <c r="E5" s="3">
        <f>E3*C6+E4*C4</f>
        <v>7.0000000000000007E-2</v>
      </c>
      <c r="F5" s="1"/>
      <c r="G5" s="16" t="s">
        <v>2</v>
      </c>
      <c r="H5" s="34"/>
      <c r="I5" s="38">
        <f>I8*(1+D10/12)^12</f>
        <v>4204.6475915269339</v>
      </c>
      <c r="J5" s="36">
        <f>(I5+J8)*(1+D10/12)^12</f>
        <v>8624.4129337602444</v>
      </c>
      <c r="K5" s="34">
        <f>(J5+K8)*(1+D10/12)^12</f>
        <v>118386.49164726747</v>
      </c>
      <c r="L5" s="39">
        <f>K5+L6</f>
        <v>234371.55037468247</v>
      </c>
      <c r="M5" s="33"/>
    </row>
    <row r="6" spans="2:13" ht="15.75" thickBot="1" x14ac:dyDescent="0.3">
      <c r="B6" s="4" t="s">
        <v>23</v>
      </c>
      <c r="C6" s="24">
        <v>0.05</v>
      </c>
      <c r="D6" s="5" t="s">
        <v>35</v>
      </c>
      <c r="E6" s="25">
        <f>EFFECT(E5,12)</f>
        <v>7.2290080856235894E-2</v>
      </c>
      <c r="F6" s="1"/>
      <c r="G6" s="16" t="s">
        <v>3</v>
      </c>
      <c r="H6" s="34">
        <f>-(H7+H8+H9+C13+H10)</f>
        <v>-95000</v>
      </c>
      <c r="I6" s="38"/>
      <c r="J6" s="34"/>
      <c r="K6" s="36"/>
      <c r="L6" s="39">
        <f>FV(D10/12,4*12,,H6)</f>
        <v>115985.05872741499</v>
      </c>
      <c r="M6" s="40">
        <f>EFFECT(D10,12)</f>
        <v>5.116189788173342E-2</v>
      </c>
    </row>
    <row r="7" spans="2:13" x14ac:dyDescent="0.25">
      <c r="B7" s="1"/>
      <c r="C7" s="1"/>
      <c r="D7" s="1"/>
      <c r="E7" s="1"/>
      <c r="F7" s="1"/>
      <c r="G7" s="16" t="s">
        <v>4</v>
      </c>
      <c r="H7" s="34">
        <v>-100000</v>
      </c>
      <c r="I7" s="35"/>
      <c r="J7" s="36"/>
      <c r="K7" s="36"/>
      <c r="L7" s="74">
        <f>J16</f>
        <v>131079.60100000002</v>
      </c>
      <c r="M7" s="40">
        <f>(1+E5)^(1/4)-1</f>
        <v>1.7058525001811375E-2</v>
      </c>
    </row>
    <row r="8" spans="2:13" ht="15.75" thickBot="1" x14ac:dyDescent="0.3">
      <c r="B8" s="1"/>
      <c r="C8" s="1"/>
      <c r="D8" s="1"/>
      <c r="E8" s="1"/>
      <c r="F8" s="1"/>
      <c r="G8" s="16" t="s">
        <v>5</v>
      </c>
      <c r="H8" s="34">
        <v>-100000</v>
      </c>
      <c r="I8" s="38">
        <f>C26*C24</f>
        <v>4000</v>
      </c>
      <c r="J8" s="34">
        <f>C26*C24</f>
        <v>4000</v>
      </c>
      <c r="K8" s="34">
        <f>C26*C24+C26</f>
        <v>104000</v>
      </c>
      <c r="L8" s="36"/>
      <c r="M8" s="41">
        <f>IRR(H8:K8)</f>
        <v>4.0000000000000036E-2</v>
      </c>
    </row>
    <row r="9" spans="2:13" x14ac:dyDescent="0.25">
      <c r="B9" s="54" t="s">
        <v>3</v>
      </c>
      <c r="C9" s="62"/>
      <c r="D9" s="55"/>
      <c r="E9" s="1"/>
      <c r="F9" s="1"/>
      <c r="G9" s="15" t="s">
        <v>6</v>
      </c>
      <c r="H9" s="42">
        <f>-C32</f>
        <v>-100000</v>
      </c>
      <c r="I9" s="31"/>
      <c r="J9" s="32"/>
      <c r="K9" s="32"/>
      <c r="L9" s="58">
        <f>C34*C38</f>
        <v>90000</v>
      </c>
      <c r="M9" s="60">
        <f>(-L9/(H9+H10))^(1/4)-1</f>
        <v>-3.7804541804238534E-2</v>
      </c>
    </row>
    <row r="10" spans="2:13" x14ac:dyDescent="0.25">
      <c r="B10" s="15" t="s">
        <v>14</v>
      </c>
      <c r="C10" s="19">
        <v>0.08</v>
      </c>
      <c r="D10" s="3">
        <v>0.05</v>
      </c>
      <c r="E10" s="1"/>
      <c r="F10" s="1"/>
      <c r="G10" s="29" t="s">
        <v>7</v>
      </c>
      <c r="H10" s="43">
        <v>-5000</v>
      </c>
      <c r="I10" s="44"/>
      <c r="J10" s="45"/>
      <c r="K10" s="45"/>
      <c r="L10" s="59"/>
      <c r="M10" s="61"/>
    </row>
    <row r="11" spans="2:13" x14ac:dyDescent="0.25">
      <c r="B11" s="16" t="s">
        <v>18</v>
      </c>
      <c r="C11" s="26">
        <f>EFFECT(C10,12)</f>
        <v>8.2999506807510004E-2</v>
      </c>
      <c r="D11" s="7"/>
      <c r="E11" s="1"/>
      <c r="F11" s="1"/>
      <c r="G11" s="16" t="s">
        <v>8</v>
      </c>
      <c r="H11" s="34">
        <v>150000</v>
      </c>
      <c r="I11" s="46">
        <f>PMT(C18,C19,C17,,0)</f>
        <v>-62452.347083926034</v>
      </c>
      <c r="J11" s="47">
        <f>PMT(C18,C19,C17,,0)</f>
        <v>-62452.347083926034</v>
      </c>
      <c r="K11" s="47">
        <f>PMT(C18,C19,C17,,0)</f>
        <v>-62452.347083926034</v>
      </c>
      <c r="L11" s="36"/>
      <c r="M11" s="48">
        <f>EFFECT(C18,1)</f>
        <v>0.12000000000000011</v>
      </c>
    </row>
    <row r="12" spans="2:13" ht="15.75" thickBot="1" x14ac:dyDescent="0.3">
      <c r="B12" s="16" t="s">
        <v>22</v>
      </c>
      <c r="C12" s="20">
        <v>12</v>
      </c>
      <c r="D12" s="7"/>
      <c r="E12" s="1"/>
      <c r="F12" s="1"/>
      <c r="G12" s="17" t="s">
        <v>9</v>
      </c>
      <c r="H12" s="49">
        <f>SUM(H4:H11)</f>
        <v>-270000</v>
      </c>
      <c r="I12" s="50">
        <f>I11</f>
        <v>-62452.347083926034</v>
      </c>
      <c r="J12" s="51">
        <f>J11</f>
        <v>-62452.347083926034</v>
      </c>
      <c r="K12" s="51">
        <f>K11</f>
        <v>-62452.347083926034</v>
      </c>
      <c r="L12" s="80">
        <f>SUM(L4:L10)-L6</f>
        <v>482964.47338335827</v>
      </c>
      <c r="M12" s="79">
        <f>IRR(H12:L12)</f>
        <v>1.7217991414133715E-2</v>
      </c>
    </row>
    <row r="13" spans="2:13" ht="15.75" thickBot="1" x14ac:dyDescent="0.3">
      <c r="B13" s="18" t="s">
        <v>25</v>
      </c>
      <c r="C13" s="21">
        <v>400000</v>
      </c>
      <c r="D13" s="6"/>
      <c r="E13" s="1"/>
      <c r="F13" s="1"/>
      <c r="G13" s="1"/>
      <c r="H13" s="1"/>
      <c r="I13" s="1"/>
      <c r="J13" s="1"/>
      <c r="K13" s="1"/>
      <c r="L13" s="1"/>
      <c r="M13" s="1"/>
    </row>
    <row r="14" spans="2:13" ht="15.75" thickBot="1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 ht="15.75" thickBot="1" x14ac:dyDescent="0.3">
      <c r="B15" s="1"/>
      <c r="C15" s="1"/>
      <c r="D15" s="1"/>
      <c r="E15" s="1"/>
      <c r="F15" s="1"/>
      <c r="G15" s="65">
        <v>1</v>
      </c>
      <c r="H15" s="66">
        <v>2</v>
      </c>
      <c r="I15" s="66">
        <v>3</v>
      </c>
      <c r="J15" s="67">
        <v>4</v>
      </c>
      <c r="K15" s="1"/>
      <c r="L15" s="76">
        <f>NPV(M6,H12:L12)</f>
        <v>-41973.960809983837</v>
      </c>
      <c r="M15" s="1"/>
    </row>
    <row r="16" spans="2:13" ht="15.75" thickBot="1" x14ac:dyDescent="0.3">
      <c r="B16" s="63" t="s">
        <v>8</v>
      </c>
      <c r="C16" s="64"/>
      <c r="D16" s="1"/>
      <c r="E16" s="1"/>
      <c r="F16" s="1"/>
      <c r="G16" s="68">
        <f>(-H7*(1+E5))</f>
        <v>107000</v>
      </c>
      <c r="H16" s="69">
        <f>G16*(1+E5)</f>
        <v>114490</v>
      </c>
      <c r="I16" s="69">
        <f>H16*(1+E5)</f>
        <v>122504.3</v>
      </c>
      <c r="J16" s="75">
        <f>I16*(1+E5)</f>
        <v>131079.60100000002</v>
      </c>
      <c r="K16" s="1"/>
      <c r="L16" s="1"/>
      <c r="M16" s="1"/>
    </row>
    <row r="17" spans="2:13" x14ac:dyDescent="0.25">
      <c r="B17" s="15" t="s">
        <v>26</v>
      </c>
      <c r="C17" s="10">
        <v>150000</v>
      </c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5">
      <c r="B18" s="16" t="s">
        <v>28</v>
      </c>
      <c r="C18" s="3">
        <v>0.12</v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5">
      <c r="B19" s="16" t="s">
        <v>31</v>
      </c>
      <c r="C19" s="11">
        <v>3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3" ht="15.75" thickBot="1" x14ac:dyDescent="0.3">
      <c r="B20" s="17" t="s">
        <v>34</v>
      </c>
      <c r="C20" s="12">
        <f>C17*(1+C18/12)^36</f>
        <v>214615.31753873714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3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3" ht="15.75" thickBot="1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 x14ac:dyDescent="0.25">
      <c r="B23" s="54" t="s">
        <v>5</v>
      </c>
      <c r="C23" s="55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3" x14ac:dyDescent="0.25">
      <c r="B24" s="15" t="s">
        <v>13</v>
      </c>
      <c r="C24" s="3">
        <v>0.04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3" x14ac:dyDescent="0.25">
      <c r="B25" s="16" t="s">
        <v>17</v>
      </c>
      <c r="C25" s="7">
        <v>1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3" x14ac:dyDescent="0.25">
      <c r="B26" s="16" t="s">
        <v>21</v>
      </c>
      <c r="C26" s="8">
        <v>100000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3" x14ac:dyDescent="0.25">
      <c r="B27" s="16" t="s">
        <v>24</v>
      </c>
      <c r="C27" s="8">
        <v>100000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3" ht="15.75" thickBot="1" x14ac:dyDescent="0.3">
      <c r="B28" s="17" t="s">
        <v>13</v>
      </c>
      <c r="C28" s="9">
        <f>C24*C27</f>
        <v>4000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3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3" ht="15.75" thickBot="1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3" x14ac:dyDescent="0.25">
      <c r="B31" s="54" t="s">
        <v>6</v>
      </c>
      <c r="C31" s="55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3" x14ac:dyDescent="0.25">
      <c r="B32" s="15" t="s">
        <v>26</v>
      </c>
      <c r="C32" s="13">
        <v>100000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x14ac:dyDescent="0.25">
      <c r="B33" s="16" t="s">
        <v>29</v>
      </c>
      <c r="C33" s="13">
        <v>10000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 ht="15.75" thickBot="1" x14ac:dyDescent="0.3">
      <c r="B34" s="17" t="s">
        <v>32</v>
      </c>
      <c r="C34" s="6">
        <f>C32/C33</f>
        <v>10</v>
      </c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ht="15.75" thickBo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 x14ac:dyDescent="0.25">
      <c r="B37" s="54" t="s">
        <v>7</v>
      </c>
      <c r="C37" s="55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25">
      <c r="B38" s="15" t="s">
        <v>27</v>
      </c>
      <c r="C38" s="7">
        <v>9000</v>
      </c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25">
      <c r="B39" s="16" t="s">
        <v>30</v>
      </c>
      <c r="C39" s="7">
        <v>500</v>
      </c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ht="15.75" thickBot="1" x14ac:dyDescent="0.3">
      <c r="B40" s="17" t="s">
        <v>33</v>
      </c>
      <c r="C40" s="6">
        <f>C39*C34</f>
        <v>5000</v>
      </c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mergeCells count="9">
    <mergeCell ref="B23:C23"/>
    <mergeCell ref="B31:C31"/>
    <mergeCell ref="B37:C37"/>
    <mergeCell ref="B2:E2"/>
    <mergeCell ref="G2:G3"/>
    <mergeCell ref="B9:D9"/>
    <mergeCell ref="L9:L10"/>
    <mergeCell ref="M9:M10"/>
    <mergeCell ref="B16:C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8330-0BA6-4D54-99EB-8B3561592B86}">
  <dimension ref="B1:M40"/>
  <sheetViews>
    <sheetView workbookViewId="0">
      <selection activeCell="G18" sqref="G18"/>
    </sheetView>
  </sheetViews>
  <sheetFormatPr defaultRowHeight="15" x14ac:dyDescent="0.25"/>
  <cols>
    <col min="1" max="1" width="13" customWidth="1"/>
    <col min="2" max="2" width="27.85546875" bestFit="1" customWidth="1"/>
    <col min="3" max="3" width="10" bestFit="1" customWidth="1"/>
    <col min="4" max="4" width="12.5703125" bestFit="1" customWidth="1"/>
    <col min="5" max="5" width="7.140625" bestFit="1" customWidth="1"/>
    <col min="6" max="6" width="12.5703125" customWidth="1"/>
    <col min="7" max="7" width="27.5703125" bestFit="1" customWidth="1"/>
    <col min="8" max="8" width="10.28515625" bestFit="1" customWidth="1"/>
    <col min="9" max="9" width="9.28515625" bestFit="1" customWidth="1"/>
    <col min="10" max="10" width="12" bestFit="1" customWidth="1"/>
    <col min="11" max="11" width="9.5703125" bestFit="1" customWidth="1"/>
    <col min="12" max="12" width="12" bestFit="1" customWidth="1"/>
    <col min="13" max="14" width="24.28515625" bestFit="1" customWidth="1"/>
  </cols>
  <sheetData>
    <row r="1" spans="2:13" ht="15.75" thickBot="1" x14ac:dyDescent="0.3"/>
    <row r="2" spans="2:13" x14ac:dyDescent="0.25">
      <c r="B2" s="54" t="s">
        <v>10</v>
      </c>
      <c r="C2" s="62"/>
      <c r="D2" s="62"/>
      <c r="E2" s="55"/>
      <c r="F2" s="1"/>
      <c r="G2" s="56"/>
      <c r="H2" s="27">
        <v>0</v>
      </c>
      <c r="I2" s="27">
        <v>1</v>
      </c>
      <c r="J2" s="27">
        <v>2</v>
      </c>
      <c r="K2" s="27">
        <v>3</v>
      </c>
      <c r="L2" s="27">
        <v>4</v>
      </c>
      <c r="M2" s="28" t="s">
        <v>0</v>
      </c>
    </row>
    <row r="3" spans="2:13" x14ac:dyDescent="0.25">
      <c r="B3" s="14" t="s">
        <v>11</v>
      </c>
      <c r="C3" s="22">
        <v>0.25</v>
      </c>
      <c r="D3" s="1" t="s">
        <v>12</v>
      </c>
      <c r="E3" s="3">
        <v>0.6</v>
      </c>
      <c r="F3" s="1"/>
      <c r="G3" s="57"/>
      <c r="H3" s="30">
        <v>-420000</v>
      </c>
      <c r="I3" s="31"/>
      <c r="J3" s="32"/>
      <c r="K3" s="32"/>
      <c r="L3" s="32"/>
      <c r="M3" s="33"/>
    </row>
    <row r="4" spans="2:13" x14ac:dyDescent="0.25">
      <c r="B4" s="2" t="s">
        <v>15</v>
      </c>
      <c r="C4" s="23">
        <v>0.1</v>
      </c>
      <c r="D4" s="1" t="s">
        <v>16</v>
      </c>
      <c r="E4" s="3">
        <v>0.4</v>
      </c>
      <c r="F4" s="1"/>
      <c r="G4" s="16" t="s">
        <v>1</v>
      </c>
      <c r="H4" s="34">
        <v>-20000</v>
      </c>
      <c r="I4" s="35"/>
      <c r="J4" s="36"/>
      <c r="K4" s="36"/>
      <c r="L4" s="36">
        <f>-H4*(1+$C$10/12)^48</f>
        <v>27513.322008675819</v>
      </c>
      <c r="M4" s="37">
        <f>EFFECT(C10,12)</f>
        <v>8.2999506807510004E-2</v>
      </c>
    </row>
    <row r="5" spans="2:13" x14ac:dyDescent="0.25">
      <c r="B5" s="2" t="s">
        <v>19</v>
      </c>
      <c r="C5" s="23">
        <v>0.1</v>
      </c>
      <c r="D5" s="1" t="s">
        <v>20</v>
      </c>
      <c r="E5" s="3">
        <f>E3*C6+E4*C4</f>
        <v>7.0000000000000007E-2</v>
      </c>
      <c r="F5" s="1"/>
      <c r="G5" s="16" t="s">
        <v>2</v>
      </c>
      <c r="H5" s="34"/>
      <c r="I5" s="38">
        <f>I8*(1+D10/12)^12</f>
        <v>4204.6475915269339</v>
      </c>
      <c r="J5" s="36">
        <f>(I5+J8)*(1+D10/12)^12</f>
        <v>8624.4129337602444</v>
      </c>
      <c r="K5" s="34">
        <f>(J5+K8)*(1+D10/12)^12</f>
        <v>118386.49164726747</v>
      </c>
      <c r="L5" s="39">
        <f>K5+L6</f>
        <v>234371.55037468247</v>
      </c>
      <c r="M5" s="33"/>
    </row>
    <row r="6" spans="2:13" ht="15.75" thickBot="1" x14ac:dyDescent="0.3">
      <c r="B6" s="4" t="s">
        <v>23</v>
      </c>
      <c r="C6" s="24">
        <v>0.05</v>
      </c>
      <c r="D6" s="5" t="s">
        <v>35</v>
      </c>
      <c r="E6" s="25">
        <f>EFFECT(E5,12)</f>
        <v>7.2290080856235894E-2</v>
      </c>
      <c r="F6" s="1"/>
      <c r="G6" s="16" t="s">
        <v>3</v>
      </c>
      <c r="H6" s="34">
        <f>-(H7+H8+H9+C13+H10)</f>
        <v>-95000</v>
      </c>
      <c r="I6" s="38"/>
      <c r="J6" s="34"/>
      <c r="K6" s="36"/>
      <c r="L6" s="39">
        <f>FV(D10/12,4*12,,H6)</f>
        <v>115985.05872741499</v>
      </c>
      <c r="M6" s="40">
        <f>EFFECT(D10,12)</f>
        <v>5.116189788173342E-2</v>
      </c>
    </row>
    <row r="7" spans="2:13" x14ac:dyDescent="0.25">
      <c r="B7" s="1"/>
      <c r="C7" s="1"/>
      <c r="D7" s="1"/>
      <c r="E7" s="1"/>
      <c r="F7" s="1"/>
      <c r="G7" s="16" t="s">
        <v>4</v>
      </c>
      <c r="H7" s="34">
        <v>-100000</v>
      </c>
      <c r="I7" s="35"/>
      <c r="J7" s="36"/>
      <c r="K7" s="36"/>
      <c r="L7" s="34">
        <f>-H7*(1+E5)</f>
        <v>107000</v>
      </c>
      <c r="M7" s="40">
        <f>(1+E5)^(1/4)-1</f>
        <v>1.7058525001811375E-2</v>
      </c>
    </row>
    <row r="8" spans="2:13" ht="15.75" thickBot="1" x14ac:dyDescent="0.3">
      <c r="B8" s="1"/>
      <c r="C8" s="1"/>
      <c r="D8" s="1"/>
      <c r="E8" s="1"/>
      <c r="F8" s="1"/>
      <c r="G8" s="16" t="s">
        <v>5</v>
      </c>
      <c r="H8" s="34">
        <v>-100000</v>
      </c>
      <c r="I8" s="38">
        <f>C26*C24</f>
        <v>4000</v>
      </c>
      <c r="J8" s="34">
        <f>C26*C24</f>
        <v>4000</v>
      </c>
      <c r="K8" s="34">
        <f>C26*C24+C26</f>
        <v>104000</v>
      </c>
      <c r="L8" s="36"/>
      <c r="M8" s="41">
        <f>IRR(H8:K8)</f>
        <v>4.0000000000000036E-2</v>
      </c>
    </row>
    <row r="9" spans="2:13" x14ac:dyDescent="0.25">
      <c r="B9" s="54" t="s">
        <v>3</v>
      </c>
      <c r="C9" s="62"/>
      <c r="D9" s="55"/>
      <c r="E9" s="1"/>
      <c r="F9" s="1"/>
      <c r="G9" s="15" t="s">
        <v>6</v>
      </c>
      <c r="H9" s="42">
        <f>-C32</f>
        <v>-100000</v>
      </c>
      <c r="I9" s="31"/>
      <c r="J9" s="32"/>
      <c r="K9" s="32"/>
      <c r="L9" s="58">
        <f>C34*C38</f>
        <v>90000</v>
      </c>
      <c r="M9" s="60">
        <f>(-L9/(H9+H10))^(1/4)-1</f>
        <v>-3.7804541804238534E-2</v>
      </c>
    </row>
    <row r="10" spans="2:13" x14ac:dyDescent="0.25">
      <c r="B10" s="15" t="s">
        <v>14</v>
      </c>
      <c r="C10" s="19">
        <v>0.08</v>
      </c>
      <c r="D10" s="3">
        <v>0.05</v>
      </c>
      <c r="E10" s="1"/>
      <c r="F10" s="1"/>
      <c r="G10" s="29" t="s">
        <v>7</v>
      </c>
      <c r="H10" s="43">
        <v>-5000</v>
      </c>
      <c r="I10" s="44"/>
      <c r="J10" s="45"/>
      <c r="K10" s="45"/>
      <c r="L10" s="59"/>
      <c r="M10" s="61"/>
    </row>
    <row r="11" spans="2:13" x14ac:dyDescent="0.25">
      <c r="B11" s="16" t="s">
        <v>18</v>
      </c>
      <c r="C11" s="26">
        <f>EFFECT(C10,12)</f>
        <v>8.2999506807510004E-2</v>
      </c>
      <c r="D11" s="7"/>
      <c r="E11" s="1"/>
      <c r="F11" s="1"/>
      <c r="G11" s="16" t="s">
        <v>8</v>
      </c>
      <c r="H11" s="34">
        <v>150000</v>
      </c>
      <c r="I11" s="46">
        <f>PMT(C18,C19,C17,,0)</f>
        <v>-50000</v>
      </c>
      <c r="J11" s="47">
        <f>PMT(C18,C19,C17,,0)</f>
        <v>-50000</v>
      </c>
      <c r="K11" s="47">
        <f>PMT(C18,C19,C17,,0)</f>
        <v>-50000</v>
      </c>
      <c r="L11" s="36"/>
      <c r="M11" s="48" t="e">
        <f>EFFECT(C18,1)</f>
        <v>#NUM!</v>
      </c>
    </row>
    <row r="12" spans="2:13" ht="15.75" thickBot="1" x14ac:dyDescent="0.3">
      <c r="B12" s="16" t="s">
        <v>22</v>
      </c>
      <c r="C12" s="20">
        <v>12</v>
      </c>
      <c r="D12" s="7"/>
      <c r="E12" s="1"/>
      <c r="F12" s="1"/>
      <c r="G12" s="17" t="s">
        <v>9</v>
      </c>
      <c r="H12" s="49">
        <f>SUM(H4:H11)</f>
        <v>-270000</v>
      </c>
      <c r="I12" s="50">
        <f>I11</f>
        <v>-50000</v>
      </c>
      <c r="J12" s="51">
        <f>J11</f>
        <v>-50000</v>
      </c>
      <c r="K12" s="51">
        <f>K11</f>
        <v>-50000</v>
      </c>
      <c r="L12" s="80">
        <f>SUM(L4:L10)-L6</f>
        <v>458884.87238335825</v>
      </c>
      <c r="M12" s="79">
        <f>IRR(H12:L12)</f>
        <v>2.7186146627993235E-2</v>
      </c>
    </row>
    <row r="13" spans="2:13" ht="15.75" thickBot="1" x14ac:dyDescent="0.3">
      <c r="B13" s="18" t="s">
        <v>25</v>
      </c>
      <c r="C13" s="21">
        <v>400000</v>
      </c>
      <c r="D13" s="6"/>
      <c r="E13" s="1"/>
      <c r="F13" s="1"/>
      <c r="G13" s="1"/>
      <c r="H13" s="1"/>
      <c r="I13" s="1"/>
      <c r="J13" s="1"/>
      <c r="K13" s="1"/>
      <c r="L13" s="1"/>
      <c r="M13" s="1"/>
    </row>
    <row r="14" spans="2:13" ht="15.75" thickBot="1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 ht="15.75" thickBot="1" x14ac:dyDescent="0.3">
      <c r="B15" s="1"/>
      <c r="C15" s="1"/>
      <c r="D15" s="1"/>
      <c r="E15" s="1"/>
      <c r="F15" s="1"/>
      <c r="G15" s="76">
        <f>NPV(M6,H12:L12)</f>
        <v>-28546.693395880306</v>
      </c>
      <c r="H15" s="1"/>
      <c r="I15" s="1"/>
      <c r="J15" s="1"/>
      <c r="K15" s="1"/>
      <c r="L15" s="1"/>
      <c r="M15" s="1"/>
    </row>
    <row r="16" spans="2:13" x14ac:dyDescent="0.25">
      <c r="B16" s="63" t="s">
        <v>8</v>
      </c>
      <c r="C16" s="64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5">
      <c r="B17" s="15" t="s">
        <v>26</v>
      </c>
      <c r="C17" s="73">
        <v>150000</v>
      </c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5">
      <c r="B18" s="16" t="s">
        <v>28</v>
      </c>
      <c r="C18" s="71"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5">
      <c r="B19" s="16" t="s">
        <v>31</v>
      </c>
      <c r="C19" s="11">
        <v>3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3" ht="15.75" thickBot="1" x14ac:dyDescent="0.3">
      <c r="B20" s="17" t="s">
        <v>34</v>
      </c>
      <c r="C20" s="72">
        <f>C17*(1+C18/12)^36</f>
        <v>150000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3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3" ht="15.75" thickBot="1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 x14ac:dyDescent="0.25">
      <c r="B23" s="54" t="s">
        <v>5</v>
      </c>
      <c r="C23" s="55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3" x14ac:dyDescent="0.25">
      <c r="B24" s="15" t="s">
        <v>13</v>
      </c>
      <c r="C24" s="3">
        <v>0.04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3" x14ac:dyDescent="0.25">
      <c r="B25" s="16" t="s">
        <v>17</v>
      </c>
      <c r="C25" s="7">
        <v>1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3" x14ac:dyDescent="0.25">
      <c r="B26" s="16" t="s">
        <v>21</v>
      </c>
      <c r="C26" s="8">
        <v>100000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3" x14ac:dyDescent="0.25">
      <c r="B27" s="16" t="s">
        <v>24</v>
      </c>
      <c r="C27" s="8">
        <v>100000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3" ht="15.75" thickBot="1" x14ac:dyDescent="0.3">
      <c r="B28" s="17" t="s">
        <v>13</v>
      </c>
      <c r="C28" s="9">
        <f>C24*C27</f>
        <v>4000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3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3" ht="15.75" thickBot="1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3" x14ac:dyDescent="0.25">
      <c r="B31" s="54" t="s">
        <v>6</v>
      </c>
      <c r="C31" s="55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3" x14ac:dyDescent="0.25">
      <c r="B32" s="15" t="s">
        <v>26</v>
      </c>
      <c r="C32" s="13">
        <v>100000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x14ac:dyDescent="0.25">
      <c r="B33" s="16" t="s">
        <v>29</v>
      </c>
      <c r="C33" s="13">
        <v>10000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 ht="15.75" thickBot="1" x14ac:dyDescent="0.3">
      <c r="B34" s="17" t="s">
        <v>32</v>
      </c>
      <c r="C34" s="6">
        <f>C32/C33</f>
        <v>10</v>
      </c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ht="15.75" thickBo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 x14ac:dyDescent="0.25">
      <c r="B37" s="54" t="s">
        <v>7</v>
      </c>
      <c r="C37" s="55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25">
      <c r="B38" s="15" t="s">
        <v>27</v>
      </c>
      <c r="C38" s="7">
        <v>9000</v>
      </c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25">
      <c r="B39" s="16" t="s">
        <v>30</v>
      </c>
      <c r="C39" s="7">
        <v>500</v>
      </c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ht="15.75" thickBot="1" x14ac:dyDescent="0.3">
      <c r="B40" s="17" t="s">
        <v>33</v>
      </c>
      <c r="C40" s="6">
        <f>C39*C34</f>
        <v>5000</v>
      </c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mergeCells count="9">
    <mergeCell ref="B23:C23"/>
    <mergeCell ref="B31:C31"/>
    <mergeCell ref="B37:C37"/>
    <mergeCell ref="B2:E2"/>
    <mergeCell ref="G2:G3"/>
    <mergeCell ref="B9:D9"/>
    <mergeCell ref="L9:L10"/>
    <mergeCell ref="M9:M10"/>
    <mergeCell ref="B16:C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2B5D-44FF-41A9-A101-86FF673BBBA9}">
  <dimension ref="B1:N40"/>
  <sheetViews>
    <sheetView topLeftCell="F1" workbookViewId="0">
      <selection activeCell="J30" sqref="J30"/>
    </sheetView>
  </sheetViews>
  <sheetFormatPr defaultRowHeight="15" x14ac:dyDescent="0.25"/>
  <cols>
    <col min="1" max="1" width="13" customWidth="1"/>
    <col min="2" max="2" width="27.85546875" bestFit="1" customWidth="1"/>
    <col min="3" max="3" width="10" bestFit="1" customWidth="1"/>
    <col min="4" max="4" width="12.5703125" bestFit="1" customWidth="1"/>
    <col min="5" max="5" width="7.140625" bestFit="1" customWidth="1"/>
    <col min="6" max="6" width="12.5703125" customWidth="1"/>
    <col min="7" max="7" width="27.5703125" bestFit="1" customWidth="1"/>
    <col min="8" max="8" width="10.28515625" bestFit="1" customWidth="1"/>
    <col min="9" max="9" width="9.28515625" bestFit="1" customWidth="1"/>
    <col min="10" max="10" width="12" bestFit="1" customWidth="1"/>
    <col min="11" max="11" width="9.5703125" bestFit="1" customWidth="1"/>
    <col min="12" max="12" width="12.5703125" bestFit="1" customWidth="1"/>
    <col min="13" max="14" width="24.28515625" bestFit="1" customWidth="1"/>
  </cols>
  <sheetData>
    <row r="1" spans="2:13" ht="15.75" thickBot="1" x14ac:dyDescent="0.3"/>
    <row r="2" spans="2:13" x14ac:dyDescent="0.25">
      <c r="B2" s="54" t="s">
        <v>10</v>
      </c>
      <c r="C2" s="62"/>
      <c r="D2" s="62"/>
      <c r="E2" s="55"/>
      <c r="F2" s="1"/>
      <c r="G2" s="56"/>
      <c r="H2" s="27">
        <v>0</v>
      </c>
      <c r="I2" s="27">
        <v>1</v>
      </c>
      <c r="J2" s="27">
        <v>2</v>
      </c>
      <c r="K2" s="27">
        <v>3</v>
      </c>
      <c r="L2" s="27">
        <v>4</v>
      </c>
      <c r="M2" s="28" t="s">
        <v>0</v>
      </c>
    </row>
    <row r="3" spans="2:13" x14ac:dyDescent="0.25">
      <c r="B3" s="14" t="s">
        <v>11</v>
      </c>
      <c r="C3" s="22">
        <v>0.25</v>
      </c>
      <c r="D3" s="1" t="s">
        <v>12</v>
      </c>
      <c r="E3" s="3">
        <v>0.6</v>
      </c>
      <c r="F3" s="1"/>
      <c r="G3" s="57"/>
      <c r="H3" s="30">
        <v>-420000</v>
      </c>
      <c r="I3" s="31"/>
      <c r="J3" s="32"/>
      <c r="K3" s="32"/>
      <c r="L3" s="32"/>
      <c r="M3" s="33"/>
    </row>
    <row r="4" spans="2:13" x14ac:dyDescent="0.25">
      <c r="B4" s="2" t="s">
        <v>15</v>
      </c>
      <c r="C4" s="23">
        <v>0.1</v>
      </c>
      <c r="D4" s="1" t="s">
        <v>16</v>
      </c>
      <c r="E4" s="3">
        <v>0.4</v>
      </c>
      <c r="F4" s="1"/>
      <c r="G4" s="16" t="s">
        <v>1</v>
      </c>
      <c r="H4" s="34">
        <v>-20000</v>
      </c>
      <c r="I4" s="35"/>
      <c r="J4" s="36"/>
      <c r="K4" s="36"/>
      <c r="L4" s="36">
        <f>-H4*(1+$C$10/12)^48</f>
        <v>27513.322008675819</v>
      </c>
      <c r="M4" s="37">
        <f>EFFECT(C10,12)</f>
        <v>8.2999506807510004E-2</v>
      </c>
    </row>
    <row r="5" spans="2:13" x14ac:dyDescent="0.25">
      <c r="B5" s="2" t="s">
        <v>19</v>
      </c>
      <c r="C5" s="23">
        <v>0.1</v>
      </c>
      <c r="D5" s="1" t="s">
        <v>20</v>
      </c>
      <c r="E5" s="3">
        <f>E3*C6+E4*C4</f>
        <v>7.0000000000000007E-2</v>
      </c>
      <c r="F5" s="1"/>
      <c r="G5" s="16" t="s">
        <v>2</v>
      </c>
      <c r="H5" s="34"/>
      <c r="I5" s="38">
        <f>I8*(1+D10/12)^12</f>
        <v>4204.6475915269339</v>
      </c>
      <c r="J5" s="36">
        <f>(I5+J8)*(1+D10/12)^12</f>
        <v>8624.4129337602444</v>
      </c>
      <c r="K5" s="34">
        <f>(J5+K8)*(1+D10/12)^12</f>
        <v>118386.49164726747</v>
      </c>
      <c r="L5" s="39">
        <f>K5+L6</f>
        <v>234371.55037468247</v>
      </c>
      <c r="M5" s="33"/>
    </row>
    <row r="6" spans="2:13" ht="15.75" thickBot="1" x14ac:dyDescent="0.3">
      <c r="B6" s="4" t="s">
        <v>23</v>
      </c>
      <c r="C6" s="24">
        <v>0.05</v>
      </c>
      <c r="D6" s="5" t="s">
        <v>35</v>
      </c>
      <c r="E6" s="25">
        <f>EFFECT(E5,12)</f>
        <v>7.2290080856235894E-2</v>
      </c>
      <c r="F6" s="1"/>
      <c r="G6" s="16" t="s">
        <v>3</v>
      </c>
      <c r="H6" s="34">
        <f>-(H7+H8+H9+C13+H10)</f>
        <v>-95000</v>
      </c>
      <c r="I6" s="38"/>
      <c r="J6" s="34"/>
      <c r="K6" s="36"/>
      <c r="L6" s="39">
        <f>FV(D10/12,4*12,,H6)</f>
        <v>115985.05872741499</v>
      </c>
      <c r="M6" s="40">
        <f>EFFECT(D10,12)</f>
        <v>5.116189788173342E-2</v>
      </c>
    </row>
    <row r="7" spans="2:13" x14ac:dyDescent="0.25">
      <c r="B7" s="1"/>
      <c r="C7" s="1"/>
      <c r="D7" s="1"/>
      <c r="E7" s="1"/>
      <c r="F7" s="1"/>
      <c r="G7" s="16" t="s">
        <v>4</v>
      </c>
      <c r="H7" s="34">
        <v>-100000</v>
      </c>
      <c r="I7" s="35"/>
      <c r="J7" s="36"/>
      <c r="K7" s="36"/>
      <c r="L7" s="34">
        <f>J16</f>
        <v>131079.60100000002</v>
      </c>
      <c r="M7" s="40">
        <f>(1+E5)^(1/4)-1</f>
        <v>1.7058525001811375E-2</v>
      </c>
    </row>
    <row r="8" spans="2:13" ht="15.75" thickBot="1" x14ac:dyDescent="0.3">
      <c r="B8" s="1"/>
      <c r="C8" s="1"/>
      <c r="D8" s="1"/>
      <c r="E8" s="1"/>
      <c r="F8" s="1"/>
      <c r="G8" s="16" t="s">
        <v>5</v>
      </c>
      <c r="H8" s="34">
        <v>-100000</v>
      </c>
      <c r="I8" s="38">
        <f>C26*C24</f>
        <v>4000</v>
      </c>
      <c r="J8" s="34">
        <f>C26*C24</f>
        <v>4000</v>
      </c>
      <c r="K8" s="34">
        <f>C26*C24+C26</f>
        <v>104000</v>
      </c>
      <c r="L8" s="36"/>
      <c r="M8" s="41">
        <f>IRR(H8:K8)</f>
        <v>4.0000000000000036E-2</v>
      </c>
    </row>
    <row r="9" spans="2:13" x14ac:dyDescent="0.25">
      <c r="B9" s="54" t="s">
        <v>3</v>
      </c>
      <c r="C9" s="62"/>
      <c r="D9" s="55"/>
      <c r="E9" s="1"/>
      <c r="F9" s="1"/>
      <c r="G9" s="15" t="s">
        <v>6</v>
      </c>
      <c r="H9" s="42">
        <f>-C32</f>
        <v>-100000</v>
      </c>
      <c r="I9" s="31"/>
      <c r="J9" s="32"/>
      <c r="K9" s="32"/>
      <c r="L9" s="58">
        <f>C34*C33</f>
        <v>100000</v>
      </c>
      <c r="M9" s="60">
        <f>(-L9/(H9+H10))^(1/4)-1</f>
        <v>-1.212345257692593E-2</v>
      </c>
    </row>
    <row r="10" spans="2:13" x14ac:dyDescent="0.25">
      <c r="B10" s="15" t="s">
        <v>14</v>
      </c>
      <c r="C10" s="19">
        <v>0.08</v>
      </c>
      <c r="D10" s="3">
        <v>0.05</v>
      </c>
      <c r="E10" s="1"/>
      <c r="F10" s="1"/>
      <c r="G10" s="29" t="s">
        <v>7</v>
      </c>
      <c r="H10" s="43">
        <v>-5000</v>
      </c>
      <c r="I10" s="44"/>
      <c r="J10" s="45"/>
      <c r="K10" s="45"/>
      <c r="L10" s="59"/>
      <c r="M10" s="61"/>
    </row>
    <row r="11" spans="2:13" x14ac:dyDescent="0.25">
      <c r="B11" s="16" t="s">
        <v>18</v>
      </c>
      <c r="C11" s="26">
        <f>EFFECT(C10,12)</f>
        <v>8.2999506807510004E-2</v>
      </c>
      <c r="D11" s="7"/>
      <c r="E11" s="1"/>
      <c r="F11" s="1"/>
      <c r="G11" s="16" t="s">
        <v>8</v>
      </c>
      <c r="H11" s="34">
        <v>150000</v>
      </c>
      <c r="I11" s="46">
        <f>PMT(C18,C19,C17,,0)</f>
        <v>-62452.347083926034</v>
      </c>
      <c r="J11" s="47">
        <f>PMT(C18,C19,C17,,0)</f>
        <v>-62452.347083926034</v>
      </c>
      <c r="K11" s="47">
        <f>PMT(C18,C19,C17,,0)</f>
        <v>-62452.347083926034</v>
      </c>
      <c r="L11" s="36"/>
      <c r="M11" s="48">
        <f>EFFECT(C18,1)</f>
        <v>0.12000000000000011</v>
      </c>
    </row>
    <row r="12" spans="2:13" ht="15.75" thickBot="1" x14ac:dyDescent="0.3">
      <c r="B12" s="16" t="s">
        <v>22</v>
      </c>
      <c r="C12" s="20">
        <v>12</v>
      </c>
      <c r="D12" s="7"/>
      <c r="E12" s="1"/>
      <c r="F12" s="1"/>
      <c r="G12" s="17" t="s">
        <v>9</v>
      </c>
      <c r="H12" s="49">
        <f>SUM(H4:H11)</f>
        <v>-270000</v>
      </c>
      <c r="I12" s="50">
        <f>I11</f>
        <v>-62452.347083926034</v>
      </c>
      <c r="J12" s="51">
        <f>J11</f>
        <v>-62452.347083926034</v>
      </c>
      <c r="K12" s="51">
        <f>K11</f>
        <v>-62452.347083926034</v>
      </c>
      <c r="L12" s="85">
        <f>SUM(L4:L10)-L6</f>
        <v>492964.47338335827</v>
      </c>
      <c r="M12" s="79">
        <f>IRR(H12:L12)</f>
        <v>2.3742165816786009E-2</v>
      </c>
    </row>
    <row r="13" spans="2:13" ht="15.75" thickBot="1" x14ac:dyDescent="0.3">
      <c r="B13" s="18" t="s">
        <v>25</v>
      </c>
      <c r="C13" s="21">
        <v>400000</v>
      </c>
      <c r="D13" s="6"/>
      <c r="E13" s="1"/>
      <c r="F13" s="1"/>
      <c r="G13" s="1"/>
      <c r="H13" s="1"/>
      <c r="I13" s="1"/>
      <c r="J13" s="1"/>
      <c r="K13" s="1"/>
      <c r="L13" s="1"/>
      <c r="M13" s="1"/>
    </row>
    <row r="14" spans="2:13" ht="15.75" thickBot="1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 ht="15.75" thickBot="1" x14ac:dyDescent="0.3">
      <c r="B15" s="1"/>
      <c r="C15" s="1"/>
      <c r="D15" s="1"/>
      <c r="E15" s="1"/>
      <c r="F15" s="1"/>
      <c r="G15" s="65">
        <v>1</v>
      </c>
      <c r="H15" s="66">
        <v>2</v>
      </c>
      <c r="I15" s="66">
        <v>3</v>
      </c>
      <c r="J15" s="67">
        <v>4</v>
      </c>
      <c r="K15" s="1"/>
      <c r="L15" s="1"/>
      <c r="M15" s="1"/>
    </row>
    <row r="16" spans="2:13" ht="15.75" thickBot="1" x14ac:dyDescent="0.3">
      <c r="B16" s="63" t="s">
        <v>8</v>
      </c>
      <c r="C16" s="64"/>
      <c r="D16" s="1"/>
      <c r="E16" s="1"/>
      <c r="F16" s="1"/>
      <c r="G16" s="68">
        <f>(-H7*(1+E5))</f>
        <v>107000</v>
      </c>
      <c r="H16" s="69">
        <f>G16*(1+E5)</f>
        <v>114490</v>
      </c>
      <c r="I16" s="69">
        <f>H16*(1+E5)</f>
        <v>122504.3</v>
      </c>
      <c r="J16" s="78">
        <f>I16*(1+E5)</f>
        <v>131079.60100000002</v>
      </c>
      <c r="K16" s="1"/>
      <c r="L16" s="1"/>
      <c r="M16" s="1"/>
    </row>
    <row r="17" spans="2:14" x14ac:dyDescent="0.25">
      <c r="B17" s="15" t="s">
        <v>26</v>
      </c>
      <c r="C17" s="10">
        <v>150000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77"/>
    </row>
    <row r="18" spans="2:14" x14ac:dyDescent="0.25">
      <c r="B18" s="16" t="s">
        <v>28</v>
      </c>
      <c r="C18" s="3">
        <v>0.12</v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4" x14ac:dyDescent="0.25">
      <c r="B19" s="16" t="s">
        <v>31</v>
      </c>
      <c r="C19" s="11">
        <v>3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4" ht="15.75" thickBot="1" x14ac:dyDescent="0.3">
      <c r="B20" s="17" t="s">
        <v>34</v>
      </c>
      <c r="C20" s="12">
        <f>C17*(1+C18/12)^36</f>
        <v>214615.31753873714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4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4" ht="15.75" thickBot="1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4" x14ac:dyDescent="0.25">
      <c r="B23" s="54" t="s">
        <v>5</v>
      </c>
      <c r="C23" s="55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4" x14ac:dyDescent="0.25">
      <c r="B24" s="15" t="s">
        <v>13</v>
      </c>
      <c r="C24" s="3">
        <v>0.04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4" x14ac:dyDescent="0.25">
      <c r="B25" s="16" t="s">
        <v>17</v>
      </c>
      <c r="C25" s="7">
        <v>1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4" x14ac:dyDescent="0.25">
      <c r="B26" s="16" t="s">
        <v>21</v>
      </c>
      <c r="C26" s="8">
        <v>100000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4" x14ac:dyDescent="0.25">
      <c r="B27" s="16" t="s">
        <v>24</v>
      </c>
      <c r="C27" s="8">
        <v>100000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4" ht="15.75" thickBot="1" x14ac:dyDescent="0.3">
      <c r="B28" s="17" t="s">
        <v>13</v>
      </c>
      <c r="C28" s="9">
        <f>C24*C27</f>
        <v>4000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4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4" ht="15.75" thickBot="1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4" x14ac:dyDescent="0.25">
      <c r="B31" s="54" t="s">
        <v>6</v>
      </c>
      <c r="C31" s="55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4" x14ac:dyDescent="0.25">
      <c r="B32" s="15" t="s">
        <v>26</v>
      </c>
      <c r="C32" s="13">
        <v>100000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x14ac:dyDescent="0.25">
      <c r="B33" s="16" t="s">
        <v>29</v>
      </c>
      <c r="C33" s="13">
        <v>10000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 ht="15.75" thickBot="1" x14ac:dyDescent="0.3">
      <c r="B34" s="17" t="s">
        <v>32</v>
      </c>
      <c r="C34" s="6">
        <f>C32/C33</f>
        <v>10</v>
      </c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ht="15.75" thickBo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 x14ac:dyDescent="0.25">
      <c r="B37" s="54" t="s">
        <v>7</v>
      </c>
      <c r="C37" s="55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25">
      <c r="B38" s="15" t="s">
        <v>27</v>
      </c>
      <c r="C38" s="7">
        <f>9000</f>
        <v>9000</v>
      </c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25">
      <c r="B39" s="16" t="s">
        <v>30</v>
      </c>
      <c r="C39" s="7">
        <v>500</v>
      </c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ht="15.75" thickBot="1" x14ac:dyDescent="0.3">
      <c r="B40" s="17" t="s">
        <v>33</v>
      </c>
      <c r="C40" s="6">
        <f>C39*C34</f>
        <v>5000</v>
      </c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mergeCells count="9">
    <mergeCell ref="B23:C23"/>
    <mergeCell ref="B31:C31"/>
    <mergeCell ref="B37:C37"/>
    <mergeCell ref="B2:E2"/>
    <mergeCell ref="G2:G3"/>
    <mergeCell ref="B9:D9"/>
    <mergeCell ref="L9:L10"/>
    <mergeCell ref="M9:M10"/>
    <mergeCell ref="B16:C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1D45-C81A-454B-916C-62E60F6BD6DB}">
  <dimension ref="B1:N40"/>
  <sheetViews>
    <sheetView topLeftCell="C10" workbookViewId="0">
      <selection activeCell="G19" sqref="G19"/>
    </sheetView>
  </sheetViews>
  <sheetFormatPr defaultRowHeight="15" x14ac:dyDescent="0.25"/>
  <cols>
    <col min="1" max="1" width="13" customWidth="1"/>
    <col min="2" max="2" width="27.85546875" bestFit="1" customWidth="1"/>
    <col min="3" max="3" width="10" bestFit="1" customWidth="1"/>
    <col min="4" max="4" width="12.5703125" bestFit="1" customWidth="1"/>
    <col min="5" max="5" width="7.140625" bestFit="1" customWidth="1"/>
    <col min="6" max="6" width="12.5703125" customWidth="1"/>
    <col min="7" max="7" width="27.5703125" bestFit="1" customWidth="1"/>
    <col min="8" max="8" width="10.28515625" bestFit="1" customWidth="1"/>
    <col min="9" max="9" width="9.28515625" bestFit="1" customWidth="1"/>
    <col min="10" max="10" width="12" bestFit="1" customWidth="1"/>
    <col min="11" max="11" width="9.5703125" bestFit="1" customWidth="1"/>
    <col min="12" max="12" width="12" bestFit="1" customWidth="1"/>
    <col min="13" max="14" width="24.28515625" bestFit="1" customWidth="1"/>
  </cols>
  <sheetData>
    <row r="1" spans="2:13" ht="15.75" thickBot="1" x14ac:dyDescent="0.3"/>
    <row r="2" spans="2:13" x14ac:dyDescent="0.25">
      <c r="B2" s="54" t="s">
        <v>10</v>
      </c>
      <c r="C2" s="62"/>
      <c r="D2" s="62"/>
      <c r="E2" s="55"/>
      <c r="F2" s="1"/>
      <c r="G2" s="56"/>
      <c r="H2" s="27">
        <v>0</v>
      </c>
      <c r="I2" s="27">
        <v>1</v>
      </c>
      <c r="J2" s="27">
        <v>2</v>
      </c>
      <c r="K2" s="27">
        <v>3</v>
      </c>
      <c r="L2" s="27">
        <v>4</v>
      </c>
      <c r="M2" s="28" t="s">
        <v>0</v>
      </c>
    </row>
    <row r="3" spans="2:13" x14ac:dyDescent="0.25">
      <c r="B3" s="14" t="s">
        <v>11</v>
      </c>
      <c r="C3" s="22">
        <v>0.25</v>
      </c>
      <c r="D3" s="1" t="s">
        <v>12</v>
      </c>
      <c r="E3" s="3">
        <v>0.6</v>
      </c>
      <c r="F3" s="1"/>
      <c r="G3" s="57"/>
      <c r="H3" s="30">
        <v>-420000</v>
      </c>
      <c r="I3" s="31"/>
      <c r="J3" s="32"/>
      <c r="K3" s="32"/>
      <c r="L3" s="32"/>
      <c r="M3" s="33"/>
    </row>
    <row r="4" spans="2:13" x14ac:dyDescent="0.25">
      <c r="B4" s="2" t="s">
        <v>15</v>
      </c>
      <c r="C4" s="23">
        <v>0.1</v>
      </c>
      <c r="D4" s="1" t="s">
        <v>16</v>
      </c>
      <c r="E4" s="3">
        <v>0.4</v>
      </c>
      <c r="F4" s="1"/>
      <c r="G4" s="16" t="s">
        <v>1</v>
      </c>
      <c r="H4" s="34">
        <v>-20000</v>
      </c>
      <c r="I4" s="35"/>
      <c r="J4" s="36"/>
      <c r="K4" s="36"/>
      <c r="L4" s="36">
        <f>-H4*(1+$C$10/12)^48</f>
        <v>27513.322008675819</v>
      </c>
      <c r="M4" s="37">
        <f>EFFECT(C10,12)</f>
        <v>8.2999506807510004E-2</v>
      </c>
    </row>
    <row r="5" spans="2:13" x14ac:dyDescent="0.25">
      <c r="B5" s="2" t="s">
        <v>19</v>
      </c>
      <c r="C5" s="23">
        <v>0.1</v>
      </c>
      <c r="D5" s="1" t="s">
        <v>20</v>
      </c>
      <c r="E5" s="3">
        <f>E3*C6+E4*C4</f>
        <v>7.0000000000000007E-2</v>
      </c>
      <c r="F5" s="1"/>
      <c r="G5" s="16" t="s">
        <v>2</v>
      </c>
      <c r="H5" s="34"/>
      <c r="I5" s="38">
        <f>I8*(1+D10/12)^12</f>
        <v>4204.6475915269339</v>
      </c>
      <c r="J5" s="36">
        <f>(I5+J8)*(1+D10/12)^12</f>
        <v>8624.4129337602444</v>
      </c>
      <c r="K5" s="34">
        <f>(J5+K8)*(1+D10/12)^12</f>
        <v>118386.49164726747</v>
      </c>
      <c r="L5" s="39">
        <f>K5+L6</f>
        <v>234371.55037468247</v>
      </c>
      <c r="M5" s="33"/>
    </row>
    <row r="6" spans="2:13" ht="15.75" thickBot="1" x14ac:dyDescent="0.3">
      <c r="B6" s="4" t="s">
        <v>23</v>
      </c>
      <c r="C6" s="24">
        <v>0.05</v>
      </c>
      <c r="D6" s="5" t="s">
        <v>35</v>
      </c>
      <c r="E6" s="25">
        <f>EFFECT(E5,12)</f>
        <v>7.2290080856235894E-2</v>
      </c>
      <c r="F6" s="1"/>
      <c r="G6" s="16" t="s">
        <v>3</v>
      </c>
      <c r="H6" s="34">
        <f>-(H7+H8+H9+C13+H10)</f>
        <v>-95000</v>
      </c>
      <c r="I6" s="38"/>
      <c r="J6" s="34"/>
      <c r="K6" s="36"/>
      <c r="L6" s="39">
        <f>FV(D10/12,4*12,,H6)</f>
        <v>115985.05872741499</v>
      </c>
      <c r="M6" s="40">
        <f>EFFECT(D10,12)</f>
        <v>5.116189788173342E-2</v>
      </c>
    </row>
    <row r="7" spans="2:13" x14ac:dyDescent="0.25">
      <c r="B7" s="1"/>
      <c r="C7" s="1"/>
      <c r="D7" s="1"/>
      <c r="E7" s="1"/>
      <c r="F7" s="1"/>
      <c r="G7" s="16" t="s">
        <v>4</v>
      </c>
      <c r="H7" s="34">
        <v>-100000</v>
      </c>
      <c r="I7" s="35"/>
      <c r="J7" s="36"/>
      <c r="K7" s="36"/>
      <c r="L7" s="34">
        <f>J16</f>
        <v>131079.60100000002</v>
      </c>
      <c r="M7" s="40">
        <f>(1+E5)^(1/4)-1</f>
        <v>1.7058525001811375E-2</v>
      </c>
    </row>
    <row r="8" spans="2:13" ht="15.75" thickBot="1" x14ac:dyDescent="0.3">
      <c r="B8" s="1"/>
      <c r="C8" s="1"/>
      <c r="D8" s="1"/>
      <c r="E8" s="1"/>
      <c r="F8" s="1"/>
      <c r="G8" s="16" t="s">
        <v>5</v>
      </c>
      <c r="H8" s="34">
        <v>-100000</v>
      </c>
      <c r="I8" s="38">
        <f>C26*C24</f>
        <v>4000</v>
      </c>
      <c r="J8" s="34">
        <f>C26*C24</f>
        <v>4000</v>
      </c>
      <c r="K8" s="34">
        <f>C26*C24+C26</f>
        <v>104000</v>
      </c>
      <c r="L8" s="36"/>
      <c r="M8" s="41">
        <f>IRR(H8:K8)</f>
        <v>4.0000000000000036E-2</v>
      </c>
    </row>
    <row r="9" spans="2:13" x14ac:dyDescent="0.25">
      <c r="B9" s="54" t="s">
        <v>3</v>
      </c>
      <c r="C9" s="62"/>
      <c r="D9" s="55"/>
      <c r="E9" s="1"/>
      <c r="F9" s="1"/>
      <c r="G9" s="15" t="s">
        <v>6</v>
      </c>
      <c r="H9" s="42">
        <f>-C32</f>
        <v>-100000</v>
      </c>
      <c r="I9" s="31"/>
      <c r="J9" s="32"/>
      <c r="K9" s="32"/>
      <c r="L9" s="58">
        <f>C34*C33</f>
        <v>107035.52661664173</v>
      </c>
      <c r="M9" s="60">
        <f>(-L9/(H9+H10))^(1/4)-1</f>
        <v>4.8116524126002869E-3</v>
      </c>
    </row>
    <row r="10" spans="2:13" x14ac:dyDescent="0.25">
      <c r="B10" s="15" t="s">
        <v>14</v>
      </c>
      <c r="C10" s="19">
        <v>0.08</v>
      </c>
      <c r="D10" s="3">
        <v>0.05</v>
      </c>
      <c r="E10" s="1"/>
      <c r="F10" s="1"/>
      <c r="G10" s="29" t="s">
        <v>7</v>
      </c>
      <c r="H10" s="43">
        <v>-5000</v>
      </c>
      <c r="I10" s="44"/>
      <c r="J10" s="45"/>
      <c r="K10" s="45"/>
      <c r="L10" s="59"/>
      <c r="M10" s="61"/>
    </row>
    <row r="11" spans="2:13" x14ac:dyDescent="0.25">
      <c r="B11" s="16" t="s">
        <v>18</v>
      </c>
      <c r="C11" s="26">
        <f>EFFECT(C10,12)</f>
        <v>8.2999506807510004E-2</v>
      </c>
      <c r="D11" s="7"/>
      <c r="E11" s="1"/>
      <c r="F11" s="1"/>
      <c r="G11" s="16" t="s">
        <v>8</v>
      </c>
      <c r="H11" s="34">
        <v>150000</v>
      </c>
      <c r="I11" s="46">
        <f>PMT(C18,C19,C17,,0)</f>
        <v>-62452.347083926034</v>
      </c>
      <c r="J11" s="47">
        <f>PMT(C18,C19,C17,,0)</f>
        <v>-62452.347083926034</v>
      </c>
      <c r="K11" s="47">
        <f>PMT(C18,C19,C17,,0)</f>
        <v>-62452.347083926034</v>
      </c>
      <c r="L11" s="36"/>
      <c r="M11" s="48">
        <f>EFFECT(C18,1)</f>
        <v>0.12000000000000011</v>
      </c>
    </row>
    <row r="12" spans="2:13" ht="15.75" thickBot="1" x14ac:dyDescent="0.3">
      <c r="B12" s="16" t="s">
        <v>22</v>
      </c>
      <c r="C12" s="20">
        <v>12</v>
      </c>
      <c r="D12" s="7"/>
      <c r="E12" s="1"/>
      <c r="F12" s="1"/>
      <c r="G12" s="17" t="s">
        <v>9</v>
      </c>
      <c r="H12" s="49">
        <f>SUM(H4:H11)</f>
        <v>-270000</v>
      </c>
      <c r="I12" s="50">
        <f>I11</f>
        <v>-62452.347083926034</v>
      </c>
      <c r="J12" s="51">
        <f>J11</f>
        <v>-62452.347083926034</v>
      </c>
      <c r="K12" s="51">
        <f>K11</f>
        <v>-62452.347083926034</v>
      </c>
      <c r="L12" s="82">
        <f>SUM(L4:L10)-L6</f>
        <v>500000.00000000006</v>
      </c>
      <c r="M12" s="79">
        <f>IRR(H12:L12)</f>
        <v>2.826863686879455E-2</v>
      </c>
    </row>
    <row r="13" spans="2:13" ht="15.75" thickBot="1" x14ac:dyDescent="0.3">
      <c r="B13" s="18" t="s">
        <v>25</v>
      </c>
      <c r="C13" s="21">
        <v>400000</v>
      </c>
      <c r="D13" s="6"/>
      <c r="E13" s="1"/>
      <c r="F13" s="1"/>
      <c r="G13" s="1"/>
      <c r="H13" s="1"/>
      <c r="I13" s="1"/>
      <c r="J13" s="1"/>
      <c r="K13" s="1"/>
      <c r="L13" s="1"/>
      <c r="M13" s="1"/>
    </row>
    <row r="14" spans="2:13" ht="15.75" thickBot="1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 ht="15.75" thickBot="1" x14ac:dyDescent="0.3">
      <c r="B15" s="1"/>
      <c r="C15" s="1"/>
      <c r="D15" s="1"/>
      <c r="E15" s="1"/>
      <c r="F15" s="1"/>
      <c r="G15" s="65">
        <v>1</v>
      </c>
      <c r="H15" s="66">
        <v>2</v>
      </c>
      <c r="I15" s="66">
        <v>3</v>
      </c>
      <c r="J15" s="67">
        <v>4</v>
      </c>
      <c r="K15" s="1"/>
      <c r="L15" s="1"/>
      <c r="M15" s="1"/>
    </row>
    <row r="16" spans="2:13" ht="15.75" thickBot="1" x14ac:dyDescent="0.3">
      <c r="B16" s="63" t="s">
        <v>8</v>
      </c>
      <c r="C16" s="64"/>
      <c r="D16" s="1"/>
      <c r="E16" s="1"/>
      <c r="F16" s="1"/>
      <c r="G16" s="68">
        <f>(-H7*(1+E5))</f>
        <v>107000</v>
      </c>
      <c r="H16" s="69">
        <f>G16*(1+E5)</f>
        <v>114490</v>
      </c>
      <c r="I16" s="69">
        <f>H16*(1+E5)</f>
        <v>122504.3</v>
      </c>
      <c r="J16" s="78">
        <f>I16*(1+E5)</f>
        <v>131079.60100000002</v>
      </c>
      <c r="K16" s="1"/>
      <c r="L16" s="1"/>
      <c r="M16" s="1"/>
    </row>
    <row r="17" spans="2:14" x14ac:dyDescent="0.25">
      <c r="B17" s="15" t="s">
        <v>26</v>
      </c>
      <c r="C17" s="10">
        <v>150000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77"/>
    </row>
    <row r="18" spans="2:14" x14ac:dyDescent="0.25">
      <c r="B18" s="16" t="s">
        <v>28</v>
      </c>
      <c r="C18" s="3">
        <v>0.12</v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4" x14ac:dyDescent="0.25">
      <c r="B19" s="16" t="s">
        <v>31</v>
      </c>
      <c r="C19" s="11">
        <v>3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4" ht="15.75" thickBot="1" x14ac:dyDescent="0.3">
      <c r="B20" s="17" t="s">
        <v>34</v>
      </c>
      <c r="C20" s="12">
        <f>C17*(1+C18/12)^36</f>
        <v>214615.31753873714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4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4" ht="15.75" thickBot="1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4" x14ac:dyDescent="0.25">
      <c r="B23" s="54" t="s">
        <v>5</v>
      </c>
      <c r="C23" s="55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4" x14ac:dyDescent="0.25">
      <c r="B24" s="15" t="s">
        <v>13</v>
      </c>
      <c r="C24" s="3">
        <v>0.04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4" x14ac:dyDescent="0.25">
      <c r="B25" s="16" t="s">
        <v>17</v>
      </c>
      <c r="C25" s="7">
        <v>1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4" x14ac:dyDescent="0.25">
      <c r="B26" s="16" t="s">
        <v>21</v>
      </c>
      <c r="C26" s="8">
        <v>100000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4" x14ac:dyDescent="0.25">
      <c r="B27" s="16" t="s">
        <v>24</v>
      </c>
      <c r="C27" s="8">
        <v>100000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4" ht="15.75" thickBot="1" x14ac:dyDescent="0.3">
      <c r="B28" s="17" t="s">
        <v>13</v>
      </c>
      <c r="C28" s="9">
        <f>C24*C27</f>
        <v>4000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4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4" ht="15.75" thickBot="1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4" x14ac:dyDescent="0.25">
      <c r="B31" s="54" t="s">
        <v>6</v>
      </c>
      <c r="C31" s="55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4" x14ac:dyDescent="0.25">
      <c r="B32" s="15" t="s">
        <v>26</v>
      </c>
      <c r="C32" s="13">
        <v>100000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x14ac:dyDescent="0.25">
      <c r="B33" s="16" t="s">
        <v>29</v>
      </c>
      <c r="C33" s="81">
        <v>10703.552661664173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 ht="15.75" thickBot="1" x14ac:dyDescent="0.3">
      <c r="B34" s="17" t="s">
        <v>32</v>
      </c>
      <c r="C34" s="6">
        <f>10</f>
        <v>10</v>
      </c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ht="15.75" thickBo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 x14ac:dyDescent="0.25">
      <c r="B37" s="54" t="s">
        <v>7</v>
      </c>
      <c r="C37" s="55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25">
      <c r="B38" s="15" t="s">
        <v>27</v>
      </c>
      <c r="C38" s="7">
        <f>9000</f>
        <v>9000</v>
      </c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25">
      <c r="B39" s="16" t="s">
        <v>30</v>
      </c>
      <c r="C39" s="7">
        <v>500</v>
      </c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ht="15.75" thickBot="1" x14ac:dyDescent="0.3">
      <c r="B40" s="17" t="s">
        <v>33</v>
      </c>
      <c r="C40" s="6">
        <f>C39*C34</f>
        <v>5000</v>
      </c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mergeCells count="9">
    <mergeCell ref="B23:C23"/>
    <mergeCell ref="B31:C31"/>
    <mergeCell ref="B37:C37"/>
    <mergeCell ref="B2:E2"/>
    <mergeCell ref="G2:G3"/>
    <mergeCell ref="B9:D9"/>
    <mergeCell ref="L9:L10"/>
    <mergeCell ref="M9:M10"/>
    <mergeCell ref="B16:C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5054-691C-43F6-9DE0-BBBC64916F80}">
  <dimension ref="B1:N40"/>
  <sheetViews>
    <sheetView tabSelected="1" topLeftCell="F7" workbookViewId="0">
      <selection activeCell="H24" sqref="H24"/>
    </sheetView>
  </sheetViews>
  <sheetFormatPr defaultRowHeight="15" x14ac:dyDescent="0.25"/>
  <cols>
    <col min="1" max="1" width="13" customWidth="1"/>
    <col min="2" max="2" width="27.85546875" bestFit="1" customWidth="1"/>
    <col min="3" max="3" width="10" bestFit="1" customWidth="1"/>
    <col min="4" max="4" width="12.5703125" bestFit="1" customWidth="1"/>
    <col min="5" max="5" width="7.140625" bestFit="1" customWidth="1"/>
    <col min="6" max="6" width="12.5703125" customWidth="1"/>
    <col min="7" max="7" width="27.5703125" bestFit="1" customWidth="1"/>
    <col min="8" max="8" width="10.28515625" bestFit="1" customWidth="1"/>
    <col min="9" max="9" width="9.28515625" bestFit="1" customWidth="1"/>
    <col min="10" max="10" width="12" bestFit="1" customWidth="1"/>
    <col min="11" max="11" width="9.5703125" bestFit="1" customWidth="1"/>
    <col min="12" max="12" width="12" bestFit="1" customWidth="1"/>
    <col min="13" max="14" width="24.28515625" bestFit="1" customWidth="1"/>
  </cols>
  <sheetData>
    <row r="1" spans="2:13" ht="15.75" thickBot="1" x14ac:dyDescent="0.3"/>
    <row r="2" spans="2:13" x14ac:dyDescent="0.25">
      <c r="B2" s="54" t="s">
        <v>10</v>
      </c>
      <c r="C2" s="62"/>
      <c r="D2" s="62"/>
      <c r="E2" s="55"/>
      <c r="F2" s="1"/>
      <c r="G2" s="56"/>
      <c r="H2" s="27">
        <v>0</v>
      </c>
      <c r="I2" s="27">
        <v>1</v>
      </c>
      <c r="J2" s="27">
        <v>2</v>
      </c>
      <c r="K2" s="27">
        <v>3</v>
      </c>
      <c r="L2" s="27">
        <v>4</v>
      </c>
      <c r="M2" s="28" t="s">
        <v>0</v>
      </c>
    </row>
    <row r="3" spans="2:13" x14ac:dyDescent="0.25">
      <c r="B3" s="14" t="s">
        <v>11</v>
      </c>
      <c r="C3" s="22">
        <v>0.25</v>
      </c>
      <c r="D3" s="1" t="s">
        <v>12</v>
      </c>
      <c r="E3" s="3">
        <v>0.6</v>
      </c>
      <c r="F3" s="1"/>
      <c r="G3" s="57"/>
      <c r="H3" s="30">
        <v>-420000</v>
      </c>
      <c r="I3" s="31"/>
      <c r="J3" s="32"/>
      <c r="K3" s="32"/>
      <c r="L3" s="32"/>
      <c r="M3" s="33"/>
    </row>
    <row r="4" spans="2:13" x14ac:dyDescent="0.25">
      <c r="B4" s="2" t="s">
        <v>15</v>
      </c>
      <c r="C4" s="23">
        <v>0.1</v>
      </c>
      <c r="D4" s="1" t="s">
        <v>16</v>
      </c>
      <c r="E4" s="3">
        <v>0.4</v>
      </c>
      <c r="F4" s="1"/>
      <c r="G4" s="16" t="s">
        <v>1</v>
      </c>
      <c r="H4" s="34">
        <v>-20000</v>
      </c>
      <c r="I4" s="35"/>
      <c r="J4" s="36"/>
      <c r="K4" s="36"/>
      <c r="L4" s="36">
        <f>-H4*(1+$C$10/12)^48</f>
        <v>27513.322008675819</v>
      </c>
      <c r="M4" s="37">
        <f>EFFECT(C10,12)</f>
        <v>8.2999506807510004E-2</v>
      </c>
    </row>
    <row r="5" spans="2:13" x14ac:dyDescent="0.25">
      <c r="B5" s="2" t="s">
        <v>19</v>
      </c>
      <c r="C5" s="23">
        <v>0.1</v>
      </c>
      <c r="D5" s="1" t="s">
        <v>20</v>
      </c>
      <c r="E5" s="3">
        <f>E3*C6+E4*C4</f>
        <v>7.0000000000000007E-2</v>
      </c>
      <c r="F5" s="1"/>
      <c r="G5" s="16" t="s">
        <v>2</v>
      </c>
      <c r="H5" s="34"/>
      <c r="I5" s="38">
        <f>I8*(1+D10/12)^12</f>
        <v>4204.6475915269339</v>
      </c>
      <c r="J5" s="36">
        <f>(I5+J8)*(1+D10/12)^12</f>
        <v>8624.4129337602444</v>
      </c>
      <c r="K5" s="34">
        <f>(J5+K8)*(1+D10/12)^12</f>
        <v>118386.49164726747</v>
      </c>
      <c r="L5" s="39">
        <f>K5+L6</f>
        <v>238086.96691014228</v>
      </c>
      <c r="M5" s="33"/>
    </row>
    <row r="6" spans="2:13" ht="15.75" thickBot="1" x14ac:dyDescent="0.3">
      <c r="B6" s="4" t="s">
        <v>23</v>
      </c>
      <c r="C6" s="24">
        <v>0.05</v>
      </c>
      <c r="D6" s="5" t="s">
        <v>35</v>
      </c>
      <c r="E6" s="25">
        <f>EFFECT(E5,12)</f>
        <v>7.2290080856235894E-2</v>
      </c>
      <c r="F6" s="1"/>
      <c r="G6" s="16" t="s">
        <v>3</v>
      </c>
      <c r="H6" s="34">
        <f>-(H7+H8+H9+C13+H10)</f>
        <v>-98043.19</v>
      </c>
      <c r="I6" s="38"/>
      <c r="J6" s="34"/>
      <c r="K6" s="36"/>
      <c r="L6" s="39">
        <f>FV(D10/12,4*12,,H6)</f>
        <v>119700.4752628748</v>
      </c>
      <c r="M6" s="40">
        <f>EFFECT(D10,12)</f>
        <v>5.116189788173342E-2</v>
      </c>
    </row>
    <row r="7" spans="2:13" x14ac:dyDescent="0.25">
      <c r="B7" s="1"/>
      <c r="C7" s="1"/>
      <c r="D7" s="1"/>
      <c r="E7" s="1"/>
      <c r="F7" s="1"/>
      <c r="G7" s="16" t="s">
        <v>4</v>
      </c>
      <c r="H7" s="34">
        <v>-100000</v>
      </c>
      <c r="I7" s="35"/>
      <c r="J7" s="36"/>
      <c r="K7" s="36"/>
      <c r="L7" s="34">
        <f>J16</f>
        <v>131079.60100000002</v>
      </c>
      <c r="M7" s="40">
        <f>(1+E5)^(1/4)-1</f>
        <v>1.7058525001811375E-2</v>
      </c>
    </row>
    <row r="8" spans="2:13" ht="15.75" thickBot="1" x14ac:dyDescent="0.3">
      <c r="B8" s="1"/>
      <c r="C8" s="1"/>
      <c r="D8" s="1"/>
      <c r="E8" s="1"/>
      <c r="F8" s="1"/>
      <c r="G8" s="16" t="s">
        <v>5</v>
      </c>
      <c r="H8" s="83">
        <v>-96956.81</v>
      </c>
      <c r="I8" s="38">
        <f>C26*C24</f>
        <v>4000</v>
      </c>
      <c r="J8" s="34">
        <f>C26*C24</f>
        <v>4000</v>
      </c>
      <c r="K8" s="34">
        <f>C26*C24+C26</f>
        <v>104000</v>
      </c>
      <c r="L8" s="36"/>
      <c r="M8" s="84">
        <f>IRR(H8:K8)</f>
        <v>5.1199990424949826E-2</v>
      </c>
    </row>
    <row r="9" spans="2:13" x14ac:dyDescent="0.25">
      <c r="B9" s="54" t="s">
        <v>3</v>
      </c>
      <c r="C9" s="62"/>
      <c r="D9" s="55"/>
      <c r="E9" s="1"/>
      <c r="F9" s="1"/>
      <c r="G9" s="15" t="s">
        <v>6</v>
      </c>
      <c r="H9" s="42">
        <f>-C32</f>
        <v>-100000</v>
      </c>
      <c r="I9" s="31"/>
      <c r="J9" s="32"/>
      <c r="K9" s="32"/>
      <c r="L9" s="58">
        <f>C34*C33</f>
        <v>100000</v>
      </c>
      <c r="M9" s="60">
        <f>(-L9/(H9+H10))^(1/4)-1</f>
        <v>-1.212345257692593E-2</v>
      </c>
    </row>
    <row r="10" spans="2:13" x14ac:dyDescent="0.25">
      <c r="B10" s="15" t="s">
        <v>14</v>
      </c>
      <c r="C10" s="19">
        <v>0.08</v>
      </c>
      <c r="D10" s="3">
        <v>0.05</v>
      </c>
      <c r="E10" s="1"/>
      <c r="F10" s="1"/>
      <c r="G10" s="29" t="s">
        <v>7</v>
      </c>
      <c r="H10" s="43">
        <v>-5000</v>
      </c>
      <c r="I10" s="44"/>
      <c r="J10" s="45"/>
      <c r="K10" s="45"/>
      <c r="L10" s="59"/>
      <c r="M10" s="61"/>
    </row>
    <row r="11" spans="2:13" x14ac:dyDescent="0.25">
      <c r="B11" s="16" t="s">
        <v>18</v>
      </c>
      <c r="C11" s="26">
        <f>EFFECT(C10,12)</f>
        <v>8.2999506807510004E-2</v>
      </c>
      <c r="D11" s="7"/>
      <c r="E11" s="1"/>
      <c r="F11" s="1"/>
      <c r="G11" s="16" t="s">
        <v>8</v>
      </c>
      <c r="H11" s="34">
        <v>150000</v>
      </c>
      <c r="I11" s="46">
        <f>PMT(C18,C19,C17,,0)</f>
        <v>-62452.347083926034</v>
      </c>
      <c r="J11" s="47">
        <f>PMT(C18,C19,C17,,0)</f>
        <v>-62452.347083926034</v>
      </c>
      <c r="K11" s="47">
        <f>PMT(C18,C19,C17,,0)</f>
        <v>-62452.347083926034</v>
      </c>
      <c r="L11" s="36"/>
      <c r="M11" s="48">
        <f>EFFECT(C18,1)</f>
        <v>0.12000000000000011</v>
      </c>
    </row>
    <row r="12" spans="2:13" ht="15.75" thickBot="1" x14ac:dyDescent="0.3">
      <c r="B12" s="16" t="s">
        <v>22</v>
      </c>
      <c r="C12" s="20">
        <v>12</v>
      </c>
      <c r="D12" s="7"/>
      <c r="E12" s="1"/>
      <c r="F12" s="1"/>
      <c r="G12" s="17" t="s">
        <v>9</v>
      </c>
      <c r="H12" s="49">
        <f>SUM(H4:H11)</f>
        <v>-270000</v>
      </c>
      <c r="I12" s="50">
        <f>I11</f>
        <v>-62452.347083926034</v>
      </c>
      <c r="J12" s="51">
        <f>J11</f>
        <v>-62452.347083926034</v>
      </c>
      <c r="K12" s="51">
        <f>K11</f>
        <v>-62452.347083926034</v>
      </c>
      <c r="L12" s="80">
        <f>SUM(L4:L10)-L6</f>
        <v>496679.88991881808</v>
      </c>
      <c r="M12" s="79">
        <f>IRR(H12:L12)</f>
        <v>2.6139003505499581E-2</v>
      </c>
    </row>
    <row r="13" spans="2:13" ht="15.75" thickBot="1" x14ac:dyDescent="0.3">
      <c r="B13" s="18" t="s">
        <v>25</v>
      </c>
      <c r="C13" s="21">
        <v>400000</v>
      </c>
      <c r="D13" s="6"/>
      <c r="E13" s="1"/>
      <c r="F13" s="1"/>
      <c r="G13" s="1"/>
      <c r="H13" s="1"/>
      <c r="I13" s="1"/>
      <c r="J13" s="1"/>
      <c r="K13" s="1"/>
      <c r="L13" s="1"/>
      <c r="M13" s="1"/>
    </row>
    <row r="14" spans="2:13" ht="15.75" thickBot="1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 ht="15.75" thickBot="1" x14ac:dyDescent="0.3">
      <c r="B15" s="1"/>
      <c r="C15" s="1"/>
      <c r="D15" s="1"/>
      <c r="E15" s="1"/>
      <c r="F15" s="1"/>
      <c r="G15" s="65">
        <v>1</v>
      </c>
      <c r="H15" s="66">
        <v>2</v>
      </c>
      <c r="I15" s="66">
        <v>3</v>
      </c>
      <c r="J15" s="67">
        <v>4</v>
      </c>
      <c r="K15" s="1"/>
      <c r="L15" s="1"/>
      <c r="M15" s="1"/>
    </row>
    <row r="16" spans="2:13" ht="15.75" thickBot="1" x14ac:dyDescent="0.3">
      <c r="B16" s="63" t="s">
        <v>8</v>
      </c>
      <c r="C16" s="64"/>
      <c r="D16" s="1"/>
      <c r="E16" s="1"/>
      <c r="F16" s="1"/>
      <c r="G16" s="68">
        <f>(-H7*(1+E5))</f>
        <v>107000</v>
      </c>
      <c r="H16" s="69">
        <f>G16*(1+E5)</f>
        <v>114490</v>
      </c>
      <c r="I16" s="69">
        <f>H16*(1+E5)</f>
        <v>122504.3</v>
      </c>
      <c r="J16" s="78">
        <f>I16*(1+E5)</f>
        <v>131079.60100000002</v>
      </c>
      <c r="K16" s="1"/>
      <c r="L16" s="1"/>
      <c r="M16" s="1"/>
    </row>
    <row r="17" spans="2:14" x14ac:dyDescent="0.25">
      <c r="B17" s="15" t="s">
        <v>26</v>
      </c>
      <c r="C17" s="10">
        <v>150000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77"/>
    </row>
    <row r="18" spans="2:14" x14ac:dyDescent="0.25">
      <c r="B18" s="16" t="s">
        <v>28</v>
      </c>
      <c r="C18" s="3">
        <v>0.12</v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4" x14ac:dyDescent="0.25">
      <c r="B19" s="16" t="s">
        <v>31</v>
      </c>
      <c r="C19" s="11">
        <v>3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4" ht="15.75" thickBot="1" x14ac:dyDescent="0.3">
      <c r="B20" s="17" t="s">
        <v>34</v>
      </c>
      <c r="C20" s="12">
        <f>C17*(1+C18/12)^36</f>
        <v>214615.31753873714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4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4" ht="15.75" thickBot="1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4" x14ac:dyDescent="0.25">
      <c r="B23" s="54" t="s">
        <v>5</v>
      </c>
      <c r="C23" s="55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4" x14ac:dyDescent="0.25">
      <c r="B24" s="15" t="s">
        <v>13</v>
      </c>
      <c r="C24" s="3">
        <v>0.04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4" x14ac:dyDescent="0.25">
      <c r="B25" s="16" t="s">
        <v>17</v>
      </c>
      <c r="C25" s="7">
        <v>1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4" x14ac:dyDescent="0.25">
      <c r="B26" s="16" t="s">
        <v>21</v>
      </c>
      <c r="C26" s="8">
        <v>100000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4" x14ac:dyDescent="0.25">
      <c r="B27" s="16" t="s">
        <v>24</v>
      </c>
      <c r="C27" s="8">
        <v>100000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4" ht="15.75" thickBot="1" x14ac:dyDescent="0.3">
      <c r="B28" s="17" t="s">
        <v>13</v>
      </c>
      <c r="C28" s="9">
        <f>C24*C27</f>
        <v>4000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4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4" ht="15.75" thickBot="1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4" x14ac:dyDescent="0.25">
      <c r="B31" s="54" t="s">
        <v>6</v>
      </c>
      <c r="C31" s="55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4" x14ac:dyDescent="0.25">
      <c r="B32" s="15" t="s">
        <v>26</v>
      </c>
      <c r="C32" s="13">
        <v>100000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x14ac:dyDescent="0.25">
      <c r="B33" s="16" t="s">
        <v>29</v>
      </c>
      <c r="C33" s="13">
        <v>10000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 ht="15.75" thickBot="1" x14ac:dyDescent="0.3">
      <c r="B34" s="17" t="s">
        <v>32</v>
      </c>
      <c r="C34" s="6">
        <f>C32/C33</f>
        <v>10</v>
      </c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ht="15.75" thickBo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 x14ac:dyDescent="0.25">
      <c r="B37" s="54" t="s">
        <v>7</v>
      </c>
      <c r="C37" s="55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25">
      <c r="B38" s="15" t="s">
        <v>27</v>
      </c>
      <c r="C38" s="7">
        <f>9000</f>
        <v>9000</v>
      </c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25">
      <c r="B39" s="16" t="s">
        <v>30</v>
      </c>
      <c r="C39" s="7">
        <v>500</v>
      </c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ht="15.75" thickBot="1" x14ac:dyDescent="0.3">
      <c r="B40" s="17" t="s">
        <v>33</v>
      </c>
      <c r="C40" s="6">
        <f>C39*C34</f>
        <v>5000</v>
      </c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mergeCells count="9">
    <mergeCell ref="B23:C23"/>
    <mergeCell ref="B31:C31"/>
    <mergeCell ref="B37:C37"/>
    <mergeCell ref="B2:E2"/>
    <mergeCell ref="G2:G3"/>
    <mergeCell ref="B9:D9"/>
    <mergeCell ref="L9:L10"/>
    <mergeCell ref="M9:M10"/>
    <mergeCell ref="B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Главный лист</vt:lpstr>
      <vt:lpstr>Вопрос 1</vt:lpstr>
      <vt:lpstr>Вопрос 2</vt:lpstr>
      <vt:lpstr>Вопрос 3</vt:lpstr>
      <vt:lpstr>Вопрос 4</vt:lpstr>
      <vt:lpstr>Вопрос 5</vt:lpstr>
      <vt:lpstr>Вопрос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test_sem_10-11</dc:title>
  <dc:creator>Содиков Фарход Фирдавсович</dc:creator>
  <cp:lastModifiedBy>user</cp:lastModifiedBy>
  <dcterms:created xsi:type="dcterms:W3CDTF">2021-10-20T10:41:31Z</dcterms:created>
  <dcterms:modified xsi:type="dcterms:W3CDTF">2021-10-23T17:56:01Z</dcterms:modified>
</cp:coreProperties>
</file>