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7DC414-929C-4C46-AE38-CE545DFAA27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Результативность" sheetId="22" r:id="rId1"/>
    <sheet name="Наибольшее" sheetId="23" r:id="rId2"/>
    <sheet name="Продажи" sheetId="16" r:id="rId3"/>
    <sheet name="СУММЕСЛИ(-МН)" sheetId="18" r:id="rId4"/>
    <sheet name="Сводная" sheetId="19" r:id="rId5"/>
    <sheet name=" Информация о клиентах" sheetId="1" r:id="rId6"/>
    <sheet name="Информация о товаарах" sheetId="2" r:id="rId7"/>
    <sheet name="Информация о менеджерах" sheetId="3" r:id="rId8"/>
    <sheet name="Премии" sheetId="14" r:id="rId9"/>
    <sheet name="Отчёт 1" sheetId="15" r:id="rId10"/>
    <sheet name="Отчёт 2" sheetId="17" r:id="rId11"/>
  </sheets>
  <externalReferences>
    <externalReference r:id="rId12"/>
  </externalReferences>
  <definedNames>
    <definedName name="_xlnm._FilterDatabase" localSheetId="2" hidden="1">Продажи!$A$1:$G$52</definedName>
    <definedName name="Выплаты">'[1]Информация Менеджеры'!$D$1:$E$3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'Отчёт 1'!$A$3:$J$9</definedName>
    <definedName name="ИтогЕИ">'Отчёт 1'!$A$11:$J$17</definedName>
    <definedName name="клиент">' Информация о клиентах'!$A$2:$A$4</definedName>
    <definedName name="Количество">Продажи!$E$2:$E$131</definedName>
    <definedName name="Количество_к_возврату">Продажи!$I$2:$I$131</definedName>
    <definedName name="Конец_периода">'Отчёт 1'!$I$1</definedName>
    <definedName name="МЕНЕДЖЕРЫ">'[1]Информация Менеджеры'!$A$1:$B$6</definedName>
    <definedName name="Наименование_клиента">Продажи!$C$2:$C$131</definedName>
    <definedName name="Наименование_Товара">Продажи!$D$2:$D$131</definedName>
    <definedName name="Начало_периода">'Отчёт 1'!$F$1</definedName>
    <definedName name="премия">'[1]Информация Менеджеры'!$G$1:$L$5</definedName>
    <definedName name="Стоимость">Продажи!$G$2:$G$131</definedName>
    <definedName name="Стоимость_возврата">Продажи!$J$2:$J$131</definedName>
    <definedName name="Товар">'Информация о товаарах'!$A$2:$A$9</definedName>
    <definedName name="Товары">[1]Товары!$F$1:$F$11</definedName>
    <definedName name="ФИО_менеджера">Продажи!$B$2:$B$131</definedName>
    <definedName name="ФИО1">'Информация о менеджерах'!$A$2:$A$6</definedName>
    <definedName name="ХарактеристикаТовара">Товары_цена[#All]</definedName>
    <definedName name="Цена_продажи">Продажи!$G$2:$G$131</definedName>
    <definedName name="Цены">'Информация о товаарах'!$F$1:$K$9</definedName>
  </definedNames>
  <calcPr calcId="191029"/>
  <pivotCaches>
    <pivotCache cacheId="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3" l="1"/>
  <c r="B4" i="23" a="1"/>
  <c r="B4" i="23" s="1"/>
  <c r="B5" i="23" a="1"/>
  <c r="D5" i="23" s="1"/>
  <c r="B6" i="23" a="1"/>
  <c r="C6" i="23" s="1"/>
  <c r="B7" i="23" a="1"/>
  <c r="B7" i="23" s="1"/>
  <c r="B3" i="23" a="1"/>
  <c r="D3" i="23" s="1"/>
  <c r="B4" i="22" a="1"/>
  <c r="B4" i="22" s="1"/>
  <c r="C4" i="22" a="1"/>
  <c r="C4" i="22" s="1"/>
  <c r="D4" i="22" a="1"/>
  <c r="D4" i="22" s="1"/>
  <c r="E4" i="22" a="1"/>
  <c r="E4" i="22" s="1"/>
  <c r="F4" i="22" a="1"/>
  <c r="F4" i="22" s="1"/>
  <c r="G4" i="22" a="1"/>
  <c r="G4" i="22" s="1"/>
  <c r="H4" i="22" a="1"/>
  <c r="H4" i="22" s="1"/>
  <c r="B5" i="22" a="1"/>
  <c r="B5" i="22" s="1"/>
  <c r="C5" i="22" a="1"/>
  <c r="C5" i="22" s="1"/>
  <c r="D5" i="22" a="1"/>
  <c r="D5" i="22" s="1"/>
  <c r="E5" i="22" a="1"/>
  <c r="E5" i="22" s="1"/>
  <c r="F5" i="22" a="1"/>
  <c r="F5" i="22" s="1"/>
  <c r="G5" i="22" a="1"/>
  <c r="G5" i="22" s="1"/>
  <c r="H5" i="22" a="1"/>
  <c r="H5" i="22" s="1"/>
  <c r="B6" i="22" a="1"/>
  <c r="B6" i="22" s="1"/>
  <c r="C6" i="22" a="1"/>
  <c r="C6" i="22" s="1"/>
  <c r="D6" i="22" a="1"/>
  <c r="D6" i="22" s="1"/>
  <c r="E6" i="22" a="1"/>
  <c r="E6" i="22"/>
  <c r="F6" i="22" a="1"/>
  <c r="F6" i="22" s="1"/>
  <c r="G6" i="22" a="1"/>
  <c r="G6" i="22" s="1"/>
  <c r="H6" i="22" a="1"/>
  <c r="H6" i="22"/>
  <c r="B7" i="22" a="1"/>
  <c r="B7" i="22" s="1"/>
  <c r="C7" i="22" a="1"/>
  <c r="C7" i="22" s="1"/>
  <c r="D7" i="22" a="1"/>
  <c r="D7" i="22" s="1"/>
  <c r="E7" i="22" a="1"/>
  <c r="E7" i="22" s="1"/>
  <c r="F7" i="22" a="1"/>
  <c r="F7" i="22" s="1"/>
  <c r="G7" i="22" a="1"/>
  <c r="G7" i="22" s="1"/>
  <c r="H7" i="22" a="1"/>
  <c r="H7" i="22" s="1"/>
  <c r="C3" i="22" a="1"/>
  <c r="C3" i="22" s="1"/>
  <c r="D3" i="22" a="1"/>
  <c r="D3" i="22" s="1"/>
  <c r="E3" i="22" a="1"/>
  <c r="E3" i="22" s="1"/>
  <c r="F3" i="22" a="1"/>
  <c r="F3" i="22" s="1"/>
  <c r="G3" i="22" a="1"/>
  <c r="G3" i="22" s="1"/>
  <c r="H3" i="22" a="1"/>
  <c r="H3" i="22" s="1"/>
  <c r="B3" i="22" a="1"/>
  <c r="B3" i="22" s="1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B14" i="22" l="1"/>
  <c r="G18" i="22"/>
  <c r="D17" i="22"/>
  <c r="C14" i="22"/>
  <c r="C18" i="22"/>
  <c r="H14" i="22"/>
  <c r="H18" i="22"/>
  <c r="B18" i="22"/>
  <c r="F16" i="22"/>
  <c r="G15" i="22"/>
  <c r="G14" i="22"/>
  <c r="F14" i="22"/>
  <c r="F18" i="22"/>
  <c r="C17" i="22"/>
  <c r="E14" i="22"/>
  <c r="E19" i="22" s="1"/>
  <c r="E18" i="22"/>
  <c r="G17" i="22"/>
  <c r="B17" i="22"/>
  <c r="H17" i="22"/>
  <c r="D14" i="22"/>
  <c r="D18" i="22"/>
  <c r="D7" i="23"/>
  <c r="B6" i="23"/>
  <c r="D4" i="23"/>
  <c r="C4" i="23"/>
  <c r="C5" i="23"/>
  <c r="D6" i="23"/>
  <c r="B5" i="23"/>
  <c r="C7" i="23"/>
  <c r="C3" i="23"/>
  <c r="B3" i="23"/>
  <c r="E16" i="22"/>
  <c r="E15" i="22"/>
  <c r="C16" i="22"/>
  <c r="D15" i="22"/>
  <c r="F17" i="22"/>
  <c r="H16" i="22"/>
  <c r="B16" i="22"/>
  <c r="C15" i="22"/>
  <c r="C19" i="22" s="1"/>
  <c r="F15" i="22"/>
  <c r="D16" i="22"/>
  <c r="E17" i="22"/>
  <c r="G16" i="22"/>
  <c r="H15" i="22"/>
  <c r="B15" i="22"/>
  <c r="B8" i="22"/>
  <c r="D8" i="22"/>
  <c r="C8" i="22"/>
  <c r="B17" i="17"/>
  <c r="C29" i="18"/>
  <c r="J4" i="18"/>
  <c r="C22" i="15"/>
  <c r="D22" i="15"/>
  <c r="E22" i="15"/>
  <c r="F22" i="15"/>
  <c r="G22" i="15"/>
  <c r="H22" i="15"/>
  <c r="I22" i="15"/>
  <c r="C23" i="15"/>
  <c r="D23" i="15"/>
  <c r="E23" i="15"/>
  <c r="F23" i="15"/>
  <c r="G23" i="15"/>
  <c r="H23" i="15"/>
  <c r="I23" i="15"/>
  <c r="C24" i="15"/>
  <c r="D24" i="15"/>
  <c r="E24" i="15"/>
  <c r="F24" i="15"/>
  <c r="G24" i="15"/>
  <c r="H24" i="15"/>
  <c r="I24" i="15"/>
  <c r="C25" i="15"/>
  <c r="D25" i="15"/>
  <c r="E25" i="15"/>
  <c r="F25" i="15"/>
  <c r="G25" i="15"/>
  <c r="H25" i="15"/>
  <c r="I25" i="15"/>
  <c r="D21" i="15"/>
  <c r="E21" i="15"/>
  <c r="F21" i="15"/>
  <c r="G21" i="15"/>
  <c r="H21" i="15"/>
  <c r="I21" i="15"/>
  <c r="C21" i="15"/>
  <c r="B22" i="15"/>
  <c r="B23" i="15"/>
  <c r="B24" i="15"/>
  <c r="B25" i="15"/>
  <c r="B21" i="15"/>
  <c r="H14" i="15"/>
  <c r="E12" i="15"/>
  <c r="E17" i="15"/>
  <c r="F17" i="15"/>
  <c r="G17" i="15"/>
  <c r="H17" i="15"/>
  <c r="I17" i="15"/>
  <c r="D17" i="15"/>
  <c r="E18" i="15"/>
  <c r="F18" i="15"/>
  <c r="G18" i="15"/>
  <c r="H18" i="15"/>
  <c r="I18" i="15"/>
  <c r="D18" i="15"/>
  <c r="C18" i="15"/>
  <c r="C17" i="15"/>
  <c r="B18" i="15"/>
  <c r="B17" i="15"/>
  <c r="B15" i="15"/>
  <c r="H6" i="15"/>
  <c r="E4" i="15"/>
  <c r="B7" i="15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D12" i="15" s="1"/>
  <c r="L27" i="16"/>
  <c r="L28" i="16"/>
  <c r="L29" i="16"/>
  <c r="L30" i="16"/>
  <c r="L31" i="16"/>
  <c r="E13" i="15" s="1"/>
  <c r="L32" i="16"/>
  <c r="L33" i="16"/>
  <c r="L34" i="16"/>
  <c r="L35" i="16"/>
  <c r="L36" i="16"/>
  <c r="L37" i="16"/>
  <c r="L38" i="16"/>
  <c r="L39" i="16"/>
  <c r="L40" i="16"/>
  <c r="L41" i="16"/>
  <c r="L42" i="16"/>
  <c r="D16" i="15" s="1"/>
  <c r="L43" i="16"/>
  <c r="F12" i="15" s="1"/>
  <c r="B8" i="17" s="1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C16" i="15" s="1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B4" i="14"/>
  <c r="G4" i="14" s="1"/>
  <c r="J3" i="16"/>
  <c r="J4" i="16"/>
  <c r="J5" i="16"/>
  <c r="J6" i="16"/>
  <c r="J8" i="16"/>
  <c r="J9" i="16"/>
  <c r="J10" i="16"/>
  <c r="J11" i="16"/>
  <c r="J12" i="16"/>
  <c r="J14" i="16"/>
  <c r="J16" i="16"/>
  <c r="J17" i="16"/>
  <c r="J19" i="16"/>
  <c r="J20" i="16"/>
  <c r="J21" i="16"/>
  <c r="J22" i="16"/>
  <c r="J23" i="16"/>
  <c r="J26" i="16"/>
  <c r="J27" i="16"/>
  <c r="J29" i="16"/>
  <c r="J30" i="16"/>
  <c r="J32" i="16"/>
  <c r="J33" i="16"/>
  <c r="J34" i="16"/>
  <c r="J36" i="16"/>
  <c r="J37" i="16"/>
  <c r="J39" i="16"/>
  <c r="J41" i="16"/>
  <c r="J42" i="16"/>
  <c r="J44" i="16"/>
  <c r="J45" i="16"/>
  <c r="J46" i="16"/>
  <c r="J47" i="16"/>
  <c r="J49" i="16"/>
  <c r="J50" i="16"/>
  <c r="J51" i="16"/>
  <c r="J52" i="16"/>
  <c r="J54" i="16"/>
  <c r="J56" i="16"/>
  <c r="J57" i="16"/>
  <c r="J58" i="16"/>
  <c r="J60" i="16"/>
  <c r="J62" i="16"/>
  <c r="J63" i="16"/>
  <c r="J64" i="16"/>
  <c r="J65" i="16"/>
  <c r="J68" i="16"/>
  <c r="J69" i="16"/>
  <c r="J70" i="16"/>
  <c r="J72" i="16"/>
  <c r="J73" i="16"/>
  <c r="J74" i="16"/>
  <c r="J75" i="16"/>
  <c r="J77" i="16"/>
  <c r="J78" i="16"/>
  <c r="J79" i="16"/>
  <c r="J80" i="16"/>
  <c r="J82" i="16"/>
  <c r="J84" i="16"/>
  <c r="J85" i="16"/>
  <c r="J86" i="16"/>
  <c r="J87" i="16"/>
  <c r="J89" i="16"/>
  <c r="J90" i="16"/>
  <c r="J91" i="16"/>
  <c r="J92" i="16"/>
  <c r="J94" i="16"/>
  <c r="J95" i="16"/>
  <c r="J97" i="16"/>
  <c r="J98" i="16"/>
  <c r="J99" i="16"/>
  <c r="J101" i="16"/>
  <c r="J102" i="16"/>
  <c r="J103" i="16"/>
  <c r="J104" i="16"/>
  <c r="J105" i="16"/>
  <c r="J106" i="16"/>
  <c r="J109" i="16"/>
  <c r="J110" i="16"/>
  <c r="J112" i="16"/>
  <c r="J113" i="16"/>
  <c r="J114" i="16"/>
  <c r="J115" i="16"/>
  <c r="J117" i="16"/>
  <c r="J118" i="16"/>
  <c r="J120" i="16"/>
  <c r="J121" i="16"/>
  <c r="J122" i="16"/>
  <c r="J123" i="16"/>
  <c r="J124" i="16"/>
  <c r="J126" i="16"/>
  <c r="J127" i="16"/>
  <c r="J128" i="16"/>
  <c r="J129" i="16"/>
  <c r="J130" i="16"/>
  <c r="J131" i="16"/>
  <c r="F2" i="16"/>
  <c r="J2" i="16" s="1"/>
  <c r="F3" i="16"/>
  <c r="G3" i="16" s="1"/>
  <c r="F4" i="16"/>
  <c r="G4" i="16" s="1"/>
  <c r="F5" i="16"/>
  <c r="G5" i="16" s="1"/>
  <c r="F6" i="16"/>
  <c r="G6" i="16" s="1"/>
  <c r="F7" i="16"/>
  <c r="J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J13" i="16" s="1"/>
  <c r="F14" i="16"/>
  <c r="G14" i="16" s="1"/>
  <c r="F15" i="16"/>
  <c r="J15" i="16" s="1"/>
  <c r="F16" i="16"/>
  <c r="G16" i="16" s="1"/>
  <c r="F17" i="16"/>
  <c r="G17" i="16" s="1"/>
  <c r="F18" i="16"/>
  <c r="J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J25" i="16" s="1"/>
  <c r="F26" i="16"/>
  <c r="G26" i="16" s="1"/>
  <c r="F27" i="16"/>
  <c r="G27" i="16" s="1"/>
  <c r="F28" i="16"/>
  <c r="J28" i="16" s="1"/>
  <c r="F29" i="16"/>
  <c r="G29" i="16" s="1"/>
  <c r="F30" i="16"/>
  <c r="G30" i="16" s="1"/>
  <c r="F31" i="16"/>
  <c r="J31" i="16" s="1"/>
  <c r="F32" i="16"/>
  <c r="G32" i="16" s="1"/>
  <c r="F33" i="16"/>
  <c r="G33" i="16" s="1"/>
  <c r="F34" i="16"/>
  <c r="G34" i="16" s="1"/>
  <c r="F35" i="16"/>
  <c r="J35" i="16" s="1"/>
  <c r="F36" i="16"/>
  <c r="G36" i="16" s="1"/>
  <c r="F37" i="16"/>
  <c r="G37" i="16" s="1"/>
  <c r="F38" i="16"/>
  <c r="J38" i="16" s="1"/>
  <c r="F39" i="16"/>
  <c r="G39" i="16" s="1"/>
  <c r="F40" i="16"/>
  <c r="G40" i="16" s="1"/>
  <c r="F41" i="16"/>
  <c r="G41" i="16" s="1"/>
  <c r="F42" i="16"/>
  <c r="G42" i="16" s="1"/>
  <c r="F43" i="16"/>
  <c r="J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J53" i="16" s="1"/>
  <c r="F54" i="16"/>
  <c r="G54" i="16" s="1"/>
  <c r="F55" i="16"/>
  <c r="J55" i="16" s="1"/>
  <c r="F56" i="16"/>
  <c r="G56" i="16" s="1"/>
  <c r="F57" i="16"/>
  <c r="G57" i="16" s="1"/>
  <c r="F58" i="16"/>
  <c r="G58" i="16" s="1"/>
  <c r="F59" i="16"/>
  <c r="J59" i="16" s="1"/>
  <c r="F60" i="16"/>
  <c r="G60" i="16" s="1"/>
  <c r="F61" i="16"/>
  <c r="J61" i="16" s="1"/>
  <c r="F62" i="16"/>
  <c r="G62" i="16" s="1"/>
  <c r="F63" i="16"/>
  <c r="G63" i="16" s="1"/>
  <c r="K63" i="16" s="1"/>
  <c r="F64" i="16"/>
  <c r="G64" i="16" s="1"/>
  <c r="F65" i="16"/>
  <c r="G65" i="16" s="1"/>
  <c r="F66" i="16"/>
  <c r="J66" i="16" s="1"/>
  <c r="F67" i="16"/>
  <c r="G67" i="16" s="1"/>
  <c r="F68" i="16"/>
  <c r="G68" i="16" s="1"/>
  <c r="F69" i="16"/>
  <c r="G69" i="16" s="1"/>
  <c r="F70" i="16"/>
  <c r="G70" i="16" s="1"/>
  <c r="F71" i="16"/>
  <c r="J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J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J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J107" i="16" s="1"/>
  <c r="F108" i="16"/>
  <c r="G108" i="16" s="1"/>
  <c r="F109" i="16"/>
  <c r="G109" i="16" s="1"/>
  <c r="F110" i="16"/>
  <c r="G110" i="16" s="1"/>
  <c r="F111" i="16"/>
  <c r="J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J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J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B5" i="14"/>
  <c r="G5" i="14" s="1"/>
  <c r="B6" i="14"/>
  <c r="G6" i="14" s="1"/>
  <c r="B7" i="14"/>
  <c r="G7" i="14" s="1"/>
  <c r="B8" i="14"/>
  <c r="G8" i="14" s="1"/>
  <c r="D17" i="17"/>
  <c r="G19" i="22" l="1"/>
  <c r="B19" i="22"/>
  <c r="D19" i="22"/>
  <c r="F19" i="22"/>
  <c r="H19" i="22"/>
  <c r="E8" i="22"/>
  <c r="J25" i="15"/>
  <c r="K39" i="16"/>
  <c r="K127" i="16"/>
  <c r="K95" i="16"/>
  <c r="K29" i="16"/>
  <c r="C26" i="15"/>
  <c r="E8" i="17" s="1"/>
  <c r="K58" i="16"/>
  <c r="K20" i="16"/>
  <c r="K36" i="16"/>
  <c r="G26" i="15"/>
  <c r="K44" i="16"/>
  <c r="K5" i="16"/>
  <c r="K50" i="16"/>
  <c r="K72" i="16"/>
  <c r="K122" i="16"/>
  <c r="K90" i="16"/>
  <c r="K34" i="16"/>
  <c r="B12" i="15"/>
  <c r="K103" i="16"/>
  <c r="K47" i="16"/>
  <c r="K23" i="16"/>
  <c r="F14" i="15"/>
  <c r="B10" i="17" s="1"/>
  <c r="C14" i="15"/>
  <c r="G15" i="15"/>
  <c r="K37" i="16"/>
  <c r="K124" i="16"/>
  <c r="K92" i="16"/>
  <c r="K68" i="16"/>
  <c r="K60" i="16"/>
  <c r="K4" i="16"/>
  <c r="C49" i="18" s="1"/>
  <c r="K130" i="16"/>
  <c r="C46" i="18" s="1"/>
  <c r="K114" i="16"/>
  <c r="K82" i="16"/>
  <c r="K10" i="16"/>
  <c r="K26" i="16"/>
  <c r="D4" i="15" s="1"/>
  <c r="E14" i="15"/>
  <c r="I13" i="15"/>
  <c r="F15" i="15"/>
  <c r="B11" i="17" s="1"/>
  <c r="E16" i="15"/>
  <c r="C8" i="14"/>
  <c r="D8" i="14" s="1"/>
  <c r="K42" i="16"/>
  <c r="D8" i="15" s="1"/>
  <c r="K106" i="16"/>
  <c r="K74" i="16"/>
  <c r="B13" i="15"/>
  <c r="K128" i="16"/>
  <c r="K104" i="16"/>
  <c r="K80" i="16"/>
  <c r="K64" i="16"/>
  <c r="K16" i="16"/>
  <c r="K8" i="16"/>
  <c r="G16" i="15"/>
  <c r="G14" i="15"/>
  <c r="F16" i="15"/>
  <c r="B12" i="17" s="1"/>
  <c r="K120" i="16"/>
  <c r="K84" i="16"/>
  <c r="K12" i="16"/>
  <c r="K22" i="16"/>
  <c r="K123" i="16"/>
  <c r="K115" i="16"/>
  <c r="K91" i="16"/>
  <c r="K3" i="16"/>
  <c r="D14" i="15"/>
  <c r="I12" i="15"/>
  <c r="E12" i="17"/>
  <c r="K121" i="16"/>
  <c r="K113" i="16"/>
  <c r="K105" i="16"/>
  <c r="C52" i="18" s="1"/>
  <c r="K89" i="16"/>
  <c r="K57" i="16"/>
  <c r="K41" i="16"/>
  <c r="K33" i="16"/>
  <c r="K17" i="16"/>
  <c r="K9" i="16"/>
  <c r="G93" i="16"/>
  <c r="K93" i="16" s="1"/>
  <c r="K52" i="16"/>
  <c r="E15" i="15"/>
  <c r="F13" i="15"/>
  <c r="B9" i="17" s="1"/>
  <c r="I15" i="15"/>
  <c r="I26" i="15"/>
  <c r="E14" i="17" s="1"/>
  <c r="G61" i="16"/>
  <c r="K61" i="16" s="1"/>
  <c r="C15" i="15"/>
  <c r="B14" i="15"/>
  <c r="I14" i="15"/>
  <c r="H12" i="15"/>
  <c r="I16" i="15"/>
  <c r="C19" i="17" a="1"/>
  <c r="C19" i="17" s="1"/>
  <c r="K32" i="16"/>
  <c r="D15" i="15"/>
  <c r="H16" i="15"/>
  <c r="C13" i="15"/>
  <c r="K126" i="16"/>
  <c r="K102" i="16"/>
  <c r="K94" i="16"/>
  <c r="K70" i="16"/>
  <c r="K62" i="16"/>
  <c r="K6" i="16"/>
  <c r="B16" i="15"/>
  <c r="H13" i="15"/>
  <c r="D13" i="15"/>
  <c r="G12" i="15"/>
  <c r="H15" i="15"/>
  <c r="G13" i="15"/>
  <c r="C12" i="15"/>
  <c r="K56" i="16"/>
  <c r="K129" i="16"/>
  <c r="K87" i="16"/>
  <c r="H26" i="15"/>
  <c r="E13" i="17" s="1"/>
  <c r="K46" i="16"/>
  <c r="K78" i="16"/>
  <c r="K54" i="16"/>
  <c r="K30" i="16"/>
  <c r="K117" i="16"/>
  <c r="K109" i="16"/>
  <c r="K101" i="16"/>
  <c r="K85" i="16"/>
  <c r="K77" i="16"/>
  <c r="K69" i="16"/>
  <c r="K45" i="16"/>
  <c r="K21" i="16"/>
  <c r="K73" i="16"/>
  <c r="K118" i="16"/>
  <c r="K86" i="16"/>
  <c r="K14" i="16"/>
  <c r="E26" i="15"/>
  <c r="E10" i="17" s="1"/>
  <c r="D26" i="15"/>
  <c r="E9" i="17" s="1"/>
  <c r="C21" i="17" a="1"/>
  <c r="C21" i="17" s="1"/>
  <c r="K65" i="16"/>
  <c r="K79" i="16"/>
  <c r="K97" i="16"/>
  <c r="K110" i="16"/>
  <c r="C40" i="18" s="1"/>
  <c r="K49" i="16"/>
  <c r="K131" i="16"/>
  <c r="K99" i="16"/>
  <c r="K75" i="16"/>
  <c r="K51" i="16"/>
  <c r="K27" i="16"/>
  <c r="K19" i="16"/>
  <c r="K11" i="16"/>
  <c r="G7" i="15" s="1"/>
  <c r="J7" i="18"/>
  <c r="K112" i="16"/>
  <c r="G9" i="14"/>
  <c r="G125" i="16"/>
  <c r="K125" i="16" s="1"/>
  <c r="G18" i="16"/>
  <c r="K18" i="16" s="1"/>
  <c r="K98" i="16"/>
  <c r="F26" i="15"/>
  <c r="E11" i="17" s="1"/>
  <c r="J24" i="15"/>
  <c r="J23" i="15"/>
  <c r="J22" i="15"/>
  <c r="J21" i="15"/>
  <c r="B26" i="15"/>
  <c r="E7" i="17" s="1"/>
  <c r="G2" i="16"/>
  <c r="K2" i="16" s="1"/>
  <c r="G81" i="16"/>
  <c r="K81" i="16" s="1"/>
  <c r="G13" i="16"/>
  <c r="K13" i="16" s="1"/>
  <c r="G53" i="16"/>
  <c r="K53" i="16" s="1"/>
  <c r="J100" i="16"/>
  <c r="K100" i="16" s="1"/>
  <c r="J108" i="16"/>
  <c r="K108" i="16" s="1"/>
  <c r="J116" i="16"/>
  <c r="K116" i="16" s="1"/>
  <c r="G66" i="16"/>
  <c r="K66" i="16" s="1"/>
  <c r="G25" i="16"/>
  <c r="K25" i="16" s="1"/>
  <c r="J76" i="16"/>
  <c r="K76" i="16" s="1"/>
  <c r="C5" i="14"/>
  <c r="D5" i="14" s="1"/>
  <c r="C7" i="14"/>
  <c r="D7" i="14" s="1"/>
  <c r="J67" i="16"/>
  <c r="K67" i="16" s="1"/>
  <c r="G119" i="16"/>
  <c r="K119" i="16" s="1"/>
  <c r="G111" i="16"/>
  <c r="K111" i="16" s="1"/>
  <c r="G71" i="16"/>
  <c r="K71" i="16" s="1"/>
  <c r="G55" i="16"/>
  <c r="K55" i="16" s="1"/>
  <c r="G31" i="16"/>
  <c r="K31" i="16" s="1"/>
  <c r="G15" i="16"/>
  <c r="K15" i="16" s="1"/>
  <c r="G7" i="16"/>
  <c r="K7" i="16" s="1"/>
  <c r="J83" i="16"/>
  <c r="K83" i="16" s="1"/>
  <c r="G38" i="16"/>
  <c r="K38" i="16" s="1"/>
  <c r="J96" i="16"/>
  <c r="K96" i="16" s="1"/>
  <c r="J88" i="16"/>
  <c r="K88" i="16" s="1"/>
  <c r="J48" i="16"/>
  <c r="K48" i="16" s="1"/>
  <c r="J40" i="16"/>
  <c r="K40" i="16" s="1"/>
  <c r="J24" i="16"/>
  <c r="K24" i="16" s="1"/>
  <c r="G28" i="16"/>
  <c r="K28" i="16" s="1"/>
  <c r="G107" i="16"/>
  <c r="K107" i="16" s="1"/>
  <c r="G59" i="16"/>
  <c r="K59" i="16" s="1"/>
  <c r="G43" i="16"/>
  <c r="K43" i="16" s="1"/>
  <c r="G35" i="16"/>
  <c r="K35" i="16" s="1"/>
  <c r="L2" i="2"/>
  <c r="L3" i="2"/>
  <c r="L4" i="2"/>
  <c r="L5" i="2"/>
  <c r="L6" i="2"/>
  <c r="L7" i="2"/>
  <c r="L8" i="2"/>
  <c r="L9" i="2"/>
  <c r="G4" i="18" l="1"/>
  <c r="F8" i="22"/>
  <c r="G7" i="18"/>
  <c r="C53" i="18"/>
  <c r="F4" i="18"/>
  <c r="F5" i="15"/>
  <c r="C56" i="18"/>
  <c r="E6" i="15"/>
  <c r="E8" i="15"/>
  <c r="I6" i="18"/>
  <c r="C4" i="15"/>
  <c r="I6" i="15"/>
  <c r="F8" i="14"/>
  <c r="E8" i="14"/>
  <c r="I5" i="15"/>
  <c r="B5" i="15"/>
  <c r="C26" i="18"/>
  <c r="F7" i="18"/>
  <c r="C8" i="15"/>
  <c r="J6" i="18"/>
  <c r="E6" i="18"/>
  <c r="C51" i="18"/>
  <c r="B4" i="15"/>
  <c r="C42" i="18"/>
  <c r="E7" i="18"/>
  <c r="G6" i="18"/>
  <c r="F6" i="15"/>
  <c r="D7" i="15"/>
  <c r="I8" i="15"/>
  <c r="C32" i="18"/>
  <c r="C23" i="18"/>
  <c r="C7" i="18"/>
  <c r="C47" i="18"/>
  <c r="F8" i="15"/>
  <c r="B6" i="15"/>
  <c r="G5" i="15"/>
  <c r="C25" i="18"/>
  <c r="C7" i="15"/>
  <c r="F5" i="18"/>
  <c r="C6" i="14"/>
  <c r="D6" i="14" s="1"/>
  <c r="C44" i="18"/>
  <c r="D5" i="18"/>
  <c r="H5" i="18"/>
  <c r="D6" i="15"/>
  <c r="G6" i="15"/>
  <c r="D6" i="18"/>
  <c r="C41" i="18"/>
  <c r="G15" i="18"/>
  <c r="H4" i="15"/>
  <c r="E5" i="15"/>
  <c r="C38" i="18"/>
  <c r="J5" i="18"/>
  <c r="I7" i="15"/>
  <c r="C13" i="18"/>
  <c r="C3" i="18"/>
  <c r="C14" i="18"/>
  <c r="G12" i="18"/>
  <c r="D3" i="18"/>
  <c r="C6" i="18"/>
  <c r="C34" i="18"/>
  <c r="C45" i="18"/>
  <c r="H5" i="15"/>
  <c r="F7" i="15"/>
  <c r="G4" i="15"/>
  <c r="I7" i="18"/>
  <c r="C55" i="18"/>
  <c r="D4" i="18"/>
  <c r="G8" i="15"/>
  <c r="C50" i="18"/>
  <c r="D22" i="17"/>
  <c r="C22" i="17"/>
  <c r="C20" i="17"/>
  <c r="D20" i="17"/>
  <c r="C5" i="15"/>
  <c r="E3" i="18"/>
  <c r="C15" i="18"/>
  <c r="H6" i="18"/>
  <c r="H8" i="15"/>
  <c r="H7" i="15"/>
  <c r="I3" i="18"/>
  <c r="C19" i="18"/>
  <c r="D5" i="15"/>
  <c r="G5" i="18"/>
  <c r="G14" i="18"/>
  <c r="C35" i="18"/>
  <c r="C17" i="18"/>
  <c r="G3" i="18"/>
  <c r="C27" i="18"/>
  <c r="H4" i="18"/>
  <c r="C37" i="18"/>
  <c r="C36" i="18"/>
  <c r="G16" i="18"/>
  <c r="F4" i="15"/>
  <c r="E4" i="18"/>
  <c r="C24" i="18"/>
  <c r="B8" i="15"/>
  <c r="H7" i="18"/>
  <c r="C54" i="18"/>
  <c r="D21" i="17" a="1"/>
  <c r="D21" i="17" s="1"/>
  <c r="D19" i="17" a="1"/>
  <c r="D19" i="17" s="1"/>
  <c r="H3" i="18"/>
  <c r="C18" i="18"/>
  <c r="C31" i="18"/>
  <c r="C5" i="18"/>
  <c r="C16" i="18"/>
  <c r="F3" i="18"/>
  <c r="C33" i="18"/>
  <c r="E5" i="18"/>
  <c r="D7" i="18"/>
  <c r="I4" i="18"/>
  <c r="C6" i="15"/>
  <c r="C43" i="18"/>
  <c r="F6" i="18"/>
  <c r="I4" i="15"/>
  <c r="C22" i="18"/>
  <c r="C4" i="18"/>
  <c r="G13" i="18"/>
  <c r="E7" i="15"/>
  <c r="C20" i="18"/>
  <c r="J3" i="18"/>
  <c r="I5" i="18"/>
  <c r="C28" i="18"/>
  <c r="C4" i="14"/>
  <c r="D4" i="14" s="1"/>
  <c r="F5" i="14"/>
  <c r="E7" i="14"/>
  <c r="E5" i="14"/>
  <c r="F7" i="14"/>
  <c r="G8" i="22" l="1"/>
  <c r="H8" i="22"/>
  <c r="J8" i="18"/>
  <c r="J7" i="15"/>
  <c r="F6" i="14"/>
  <c r="B9" i="15"/>
  <c r="C9" i="15"/>
  <c r="J5" i="15"/>
  <c r="F9" i="15"/>
  <c r="H9" i="15"/>
  <c r="K7" i="18"/>
  <c r="K4" i="18"/>
  <c r="E6" i="14"/>
  <c r="D9" i="14"/>
  <c r="H8" i="18"/>
  <c r="C48" i="18"/>
  <c r="G9" i="15"/>
  <c r="D9" i="15"/>
  <c r="I9" i="15"/>
  <c r="E8" i="18"/>
  <c r="J4" i="15"/>
  <c r="J6" i="15"/>
  <c r="C39" i="18"/>
  <c r="F8" i="18"/>
  <c r="D8" i="18"/>
  <c r="E9" i="15"/>
  <c r="G17" i="18"/>
  <c r="K5" i="18"/>
  <c r="I8" i="18"/>
  <c r="K6" i="18"/>
  <c r="C30" i="18"/>
  <c r="G8" i="18"/>
  <c r="C8" i="18"/>
  <c r="K3" i="18"/>
  <c r="C12" i="18"/>
  <c r="C21" i="18"/>
  <c r="J8" i="15"/>
  <c r="F4" i="14"/>
  <c r="C9" i="14"/>
  <c r="E4" i="14"/>
  <c r="F9" i="14" l="1"/>
  <c r="B20" i="17"/>
  <c r="E9" i="14"/>
  <c r="B19" i="17" a="1"/>
  <c r="B19" i="17" s="1"/>
  <c r="B21" i="17" a="1"/>
  <c r="B21" i="17" s="1"/>
  <c r="J9" i="15"/>
  <c r="B22" i="17"/>
  <c r="K8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<sst xmlns="http://schemas.openxmlformats.org/spreadsheetml/2006/main" count="743" uniqueCount="109">
  <si>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</si>
  <si>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</si>
  <si>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</si>
  <si>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</si>
  <si>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</si>
  <si>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</si>
  <si>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</si>
  <si>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</si>
  <si>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</si>
  <si>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</si>
  <si>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</si>
  <si>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</si>
  <si>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</si>
  <si>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</si>
  <si>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</si>
  <si>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</si>
  <si>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</si>
  <si>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</si>
  <si>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</si>
  <si>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</si>
  <si>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</si>
  <si>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</si>
  <si>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</si>
  <si>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</si>
  <si>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</si>
  <si>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</si>
  <si>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</si>
  <si>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</si>
  <si>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</si>
  <si>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>Санкт-Петербург</t>
  </si>
  <si>
    <t>Москва</t>
  </si>
  <si>
    <t>Цена товара (фикс)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</si>
  <si>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</si>
  <si>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</si>
  <si>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</si>
  <si>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</si>
  <si>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</si>
  <si>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</si>
  <si>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</si>
  <si>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</si>
  <si>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</si>
  <si>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</si>
  <si>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</si>
  <si>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</si>
  <si>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</si>
  <si>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</si>
  <si>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</si>
  <si>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</si>
  <si>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</si>
  <si>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</si>
  <si>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</si>
  <si>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</si>
  <si>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</si>
  <si>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</si>
  <si>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</si>
  <si>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</si>
  <si>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</si>
  <si>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</si>
  <si>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</si>
  <si>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</si>
  <si>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</si>
  <si>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</si>
  <si>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</si>
  <si>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</si>
  <si>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</si>
  <si>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</si>
  <si>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</si>
  <si>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</si>
  <si>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</si>
  <si>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</si>
  <si>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</si>
  <si>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</si>
  <si>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</si>
  <si>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</si>
  <si>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</si>
  <si>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</si>
  <si>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</si>
  <si>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</si>
  <si>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</si>
  <si>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</si>
  <si>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</si>
  <si>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</si>
  <si>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</si>
  <si>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</si>
  <si>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</si>
  <si>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</si>
  <si>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</si>
  <si>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</si>
  <si>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</si>
  <si>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</si>
  <si>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</si>
  <si>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Чистое кол-во</t>
  </si>
  <si>
    <t>Сумма по полю Чистая стоимость</t>
  </si>
  <si>
    <t>Менеджер</t>
  </si>
  <si>
    <t>Названия столбцов</t>
  </si>
  <si>
    <t>ИТОГ</t>
  </si>
  <si>
    <t>Доля сделок в общем количестве сделок</t>
  </si>
  <si>
    <t>Распределение выработки менеджеров по дням недели  (по количеству заключенных сделок)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</si>
  <si>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</si>
  <si>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</si>
  <si>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</si>
  <si>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</si>
  <si>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</si>
  <si>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</si>
  <si>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</si>
  <si>
    <t>День недели</t>
  </si>
  <si>
    <t>Месяц с:</t>
  </si>
  <si>
    <t>по:</t>
  </si>
  <si>
    <t>Год: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</si>
</sst>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#,##0.00\ &quot;р.&quot;;\-#,##0.00\ &quot;р.&quot;"/>
    <numFmt numFmtId="165" formatCode="#,##0.00\ &quot;₽&quot;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CC00CC"/>
      <name val="Calibri"/>
      <family val="2"/>
      <charset val="204"/>
      <scheme val="minor"/>
    </font>
    <font>
      <b/>
      <i/>
      <u/>
      <sz val="11"/>
      <color rgb="FFCC00CC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medium">
        <color indexed="64"/>
      </bottom>
      <diagonal/>
    </border>
    <border>
      <left style="thin">
        <color theme="8"/>
      </left>
      <right/>
      <top/>
      <bottom style="medium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wrapText="1"/>
    </xf>
    <xf numFmtId="44" fontId="0" fillId="0" borderId="0" xfId="1" applyFont="1"/>
    <xf numFmtId="0" fontId="0" fillId="0" borderId="0" xfId="0" applyAlignment="1">
      <alignment wrapText="1"/>
    </xf>
    <xf numFmtId="9" fontId="0" fillId="0" borderId="0" xfId="2" applyFo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44" fontId="0" fillId="0" borderId="1" xfId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1" applyNumberFormat="1" applyFont="1" applyBorder="1"/>
    <xf numFmtId="0" fontId="0" fillId="0" borderId="0" xfId="0" applyNumberFormat="1"/>
    <xf numFmtId="14" fontId="0" fillId="0" borderId="1" xfId="0" applyNumberFormat="1" applyFont="1" applyFill="1" applyBorder="1"/>
    <xf numFmtId="0" fontId="0" fillId="0" borderId="1" xfId="0" applyFont="1" applyFill="1" applyBorder="1"/>
    <xf numFmtId="44" fontId="0" fillId="0" borderId="1" xfId="1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44" fontId="1" fillId="0" borderId="0" xfId="1" applyFont="1" applyBorder="1"/>
    <xf numFmtId="44" fontId="6" fillId="0" borderId="1" xfId="0" applyNumberFormat="1" applyFont="1" applyFill="1" applyBorder="1"/>
    <xf numFmtId="165" fontId="0" fillId="0" borderId="1" xfId="0" applyNumberFormat="1" applyBorder="1"/>
    <xf numFmtId="0" fontId="0" fillId="0" borderId="1" xfId="0" applyFont="1" applyBorder="1"/>
    <xf numFmtId="0" fontId="0" fillId="0" borderId="6" xfId="0" applyFont="1" applyFill="1" applyBorder="1"/>
    <xf numFmtId="44" fontId="0" fillId="0" borderId="6" xfId="1" applyNumberFormat="1" applyFont="1" applyFill="1" applyBorder="1"/>
    <xf numFmtId="14" fontId="0" fillId="0" borderId="6" xfId="0" applyNumberFormat="1" applyFont="1" applyFill="1" applyBorder="1"/>
    <xf numFmtId="44" fontId="6" fillId="0" borderId="6" xfId="0" applyNumberFormat="1" applyFont="1" applyFill="1" applyBorder="1"/>
    <xf numFmtId="0" fontId="0" fillId="0" borderId="11" xfId="0" applyFill="1" applyBorder="1"/>
    <xf numFmtId="14" fontId="0" fillId="0" borderId="13" xfId="0" applyNumberFormat="1" applyFont="1" applyFill="1" applyBorder="1"/>
    <xf numFmtId="0" fontId="6" fillId="0" borderId="14" xfId="0" applyFont="1" applyFill="1" applyBorder="1"/>
    <xf numFmtId="14" fontId="0" fillId="0" borderId="15" xfId="0" applyNumberFormat="1" applyFont="1" applyFill="1" applyBorder="1"/>
    <xf numFmtId="0" fontId="6" fillId="0" borderId="16" xfId="0" applyFont="1" applyFill="1" applyBorder="1"/>
    <xf numFmtId="14" fontId="0" fillId="0" borderId="17" xfId="0" applyNumberFormat="1" applyFont="1" applyFill="1" applyBorder="1"/>
    <xf numFmtId="0" fontId="0" fillId="0" borderId="3" xfId="0" applyFont="1" applyFill="1" applyBorder="1"/>
    <xf numFmtId="0" fontId="0" fillId="0" borderId="3" xfId="0" applyFill="1" applyBorder="1"/>
    <xf numFmtId="44" fontId="0" fillId="0" borderId="3" xfId="1" applyNumberFormat="1" applyFont="1" applyFill="1" applyBorder="1"/>
    <xf numFmtId="44" fontId="6" fillId="0" borderId="3" xfId="0" applyNumberFormat="1" applyFont="1" applyFill="1" applyBorder="1"/>
    <xf numFmtId="0" fontId="6" fillId="0" borderId="18" xfId="0" applyFont="1" applyFill="1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8" fillId="0" borderId="28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2" fillId="0" borderId="30" xfId="0" applyFont="1" applyBorder="1"/>
    <xf numFmtId="0" fontId="0" fillId="0" borderId="0" xfId="0" applyBorder="1"/>
    <xf numFmtId="44" fontId="0" fillId="0" borderId="0" xfId="1" applyFont="1" applyBorder="1"/>
    <xf numFmtId="0" fontId="0" fillId="0" borderId="0" xfId="0" applyFont="1" applyFill="1" applyBorder="1"/>
    <xf numFmtId="164" fontId="0" fillId="0" borderId="20" xfId="1" applyNumberFormat="1" applyFont="1" applyBorder="1"/>
    <xf numFmtId="164" fontId="2" fillId="0" borderId="20" xfId="1" applyNumberFormat="1" applyFont="1" applyBorder="1"/>
    <xf numFmtId="164" fontId="0" fillId="0" borderId="0" xfId="1" applyNumberFormat="1" applyFont="1" applyBorder="1"/>
    <xf numFmtId="164" fontId="2" fillId="0" borderId="0" xfId="1" applyNumberFormat="1" applyFont="1" applyBorder="1"/>
    <xf numFmtId="0" fontId="2" fillId="0" borderId="30" xfId="0" applyFont="1" applyBorder="1" applyAlignment="1">
      <alignment wrapText="1"/>
    </xf>
    <xf numFmtId="0" fontId="0" fillId="0" borderId="20" xfId="0" applyFont="1" applyFill="1" applyBorder="1"/>
    <xf numFmtId="0" fontId="2" fillId="0" borderId="27" xfId="0" applyFont="1" applyBorder="1"/>
    <xf numFmtId="14" fontId="2" fillId="0" borderId="28" xfId="0" applyNumberFormat="1" applyFont="1" applyBorder="1"/>
    <xf numFmtId="14" fontId="2" fillId="0" borderId="30" xfId="0" applyNumberFormat="1" applyFont="1" applyBorder="1"/>
    <xf numFmtId="0" fontId="0" fillId="0" borderId="2" xfId="0" applyBorder="1"/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Border="1"/>
    <xf numFmtId="9" fontId="0" fillId="0" borderId="34" xfId="0" applyNumberFormat="1" applyBorder="1"/>
    <xf numFmtId="0" fontId="0" fillId="0" borderId="10" xfId="0" applyBorder="1"/>
    <xf numFmtId="0" fontId="0" fillId="0" borderId="11" xfId="0" applyBorder="1"/>
    <xf numFmtId="9" fontId="0" fillId="0" borderId="12" xfId="0" applyNumberFormat="1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0" fillId="0" borderId="3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34" xfId="0" applyBorder="1"/>
    <xf numFmtId="0" fontId="2" fillId="0" borderId="35" xfId="0" applyFont="1" applyBorder="1" applyAlignment="1">
      <alignment horizontal="left"/>
    </xf>
    <xf numFmtId="0" fontId="0" fillId="0" borderId="3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9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44" fontId="0" fillId="0" borderId="9" xfId="1" applyFont="1" applyBorder="1"/>
    <xf numFmtId="44" fontId="0" fillId="0" borderId="11" xfId="1" applyFont="1" applyBorder="1"/>
    <xf numFmtId="44" fontId="0" fillId="0" borderId="12" xfId="1" applyFont="1" applyBorder="1"/>
    <xf numFmtId="0" fontId="2" fillId="0" borderId="8" xfId="0" applyFont="1" applyBorder="1"/>
    <xf numFmtId="0" fontId="2" fillId="0" borderId="10" xfId="0" applyFont="1" applyFill="1" applyBorder="1"/>
    <xf numFmtId="0" fontId="0" fillId="0" borderId="12" xfId="0" applyFill="1" applyBorder="1"/>
    <xf numFmtId="0" fontId="2" fillId="0" borderId="19" xfId="0" applyFont="1" applyFill="1" applyBorder="1"/>
    <xf numFmtId="0" fontId="0" fillId="0" borderId="9" xfId="1" applyNumberFormat="1" applyFont="1" applyBorder="1"/>
    <xf numFmtId="0" fontId="0" fillId="0" borderId="11" xfId="1" applyNumberFormat="1" applyFont="1" applyBorder="1"/>
    <xf numFmtId="0" fontId="0" fillId="0" borderId="12" xfId="1" applyNumberFormat="1" applyFont="1" applyBorder="1"/>
    <xf numFmtId="16" fontId="0" fillId="0" borderId="30" xfId="0" applyNumberFormat="1" applyBorder="1"/>
    <xf numFmtId="0" fontId="1" fillId="0" borderId="21" xfId="0" applyFont="1" applyBorder="1"/>
    <xf numFmtId="0" fontId="2" fillId="0" borderId="9" xfId="0" applyFont="1" applyBorder="1"/>
    <xf numFmtId="9" fontId="1" fillId="0" borderId="9" xfId="2" applyFont="1" applyBorder="1"/>
    <xf numFmtId="9" fontId="1" fillId="0" borderId="12" xfId="2" applyFont="1" applyBorder="1"/>
    <xf numFmtId="0" fontId="2" fillId="0" borderId="37" xfId="0" applyFont="1" applyBorder="1"/>
    <xf numFmtId="0" fontId="1" fillId="0" borderId="38" xfId="0" applyFont="1" applyBorder="1"/>
    <xf numFmtId="0" fontId="4" fillId="0" borderId="19" xfId="0" applyFont="1" applyBorder="1"/>
    <xf numFmtId="14" fontId="4" fillId="0" borderId="20" xfId="0" applyNumberFormat="1" applyFont="1" applyBorder="1"/>
    <xf numFmtId="0" fontId="4" fillId="0" borderId="20" xfId="0" applyFont="1" applyBorder="1" applyAlignment="1">
      <alignment horizontal="center"/>
    </xf>
    <xf numFmtId="14" fontId="4" fillId="0" borderId="21" xfId="0" applyNumberFormat="1" applyFont="1" applyBorder="1" applyAlignment="1">
      <alignment horizontal="left"/>
    </xf>
    <xf numFmtId="0" fontId="2" fillId="0" borderId="9" xfId="0" applyFont="1" applyFill="1" applyBorder="1"/>
    <xf numFmtId="0" fontId="1" fillId="0" borderId="9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2" fillId="0" borderId="5" xfId="0" applyFont="1" applyBorder="1"/>
    <xf numFmtId="0" fontId="2" fillId="0" borderId="7" xfId="0" applyFon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5" xfId="0" pivotButton="1" applyBorder="1"/>
    <xf numFmtId="0" fontId="0" fillId="0" borderId="6" xfId="0" pivotButton="1" applyBorder="1"/>
    <xf numFmtId="0" fontId="0" fillId="0" borderId="6" xfId="0" applyBorder="1"/>
    <xf numFmtId="0" fontId="0" fillId="0" borderId="7" xfId="0" applyBorder="1"/>
    <xf numFmtId="0" fontId="0" fillId="0" borderId="8" xfId="0" pivotButton="1" applyBorder="1"/>
    <xf numFmtId="165" fontId="0" fillId="0" borderId="9" xfId="0" applyNumberFormat="1" applyBorder="1"/>
    <xf numFmtId="0" fontId="0" fillId="0" borderId="10" xfId="0" applyBorder="1" applyAlignment="1">
      <alignment horizontal="left"/>
    </xf>
    <xf numFmtId="165" fontId="0" fillId="0" borderId="11" xfId="0" applyNumberFormat="1" applyBorder="1"/>
    <xf numFmtId="165" fontId="0" fillId="0" borderId="12" xfId="0" applyNumberFormat="1" applyBorder="1"/>
    <xf numFmtId="0" fontId="0" fillId="0" borderId="8" xfId="0" applyBorder="1" applyAlignment="1">
      <alignment horizontal="left" indent="1"/>
    </xf>
    <xf numFmtId="165" fontId="0" fillId="0" borderId="20" xfId="0" applyNumberFormat="1" applyBorder="1"/>
    <xf numFmtId="165" fontId="0" fillId="0" borderId="0" xfId="0" applyNumberFormat="1" applyBorder="1"/>
    <xf numFmtId="165" fontId="0" fillId="0" borderId="28" xfId="0" applyNumberFormat="1" applyBorder="1"/>
    <xf numFmtId="165" fontId="0" fillId="0" borderId="30" xfId="0" applyNumberFormat="1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2" fillId="0" borderId="31" xfId="0" applyFont="1" applyBorder="1" applyAlignment="1">
      <alignment wrapText="1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42" xfId="0" applyFill="1" applyBorder="1"/>
    <xf numFmtId="0" fontId="0" fillId="0" borderId="43" xfId="0" applyBorder="1"/>
    <xf numFmtId="0" fontId="0" fillId="2" borderId="43" xfId="0" applyFill="1" applyBorder="1"/>
    <xf numFmtId="165" fontId="0" fillId="2" borderId="44" xfId="0" applyNumberFormat="1" applyFill="1" applyBorder="1"/>
    <xf numFmtId="165" fontId="0" fillId="0" borderId="45" xfId="0" applyNumberFormat="1" applyBorder="1"/>
    <xf numFmtId="165" fontId="0" fillId="2" borderId="45" xfId="0" applyNumberFormat="1" applyFill="1" applyBorder="1"/>
    <xf numFmtId="0" fontId="5" fillId="3" borderId="46" xfId="0" applyFont="1" applyFill="1" applyBorder="1"/>
    <xf numFmtId="0" fontId="5" fillId="3" borderId="47" xfId="0" applyFont="1" applyFill="1" applyBorder="1"/>
    <xf numFmtId="0" fontId="0" fillId="0" borderId="48" xfId="0" applyBorder="1"/>
    <xf numFmtId="165" fontId="0" fillId="0" borderId="49" xfId="0" applyNumberFormat="1" applyBorder="1"/>
    <xf numFmtId="0" fontId="1" fillId="0" borderId="50" xfId="0" applyFont="1" applyBorder="1"/>
    <xf numFmtId="0" fontId="0" fillId="0" borderId="0" xfId="0" applyFont="1" applyFill="1"/>
    <xf numFmtId="0" fontId="2" fillId="0" borderId="25" xfId="0" applyFont="1" applyBorder="1" applyAlignment="1">
      <alignment wrapText="1"/>
    </xf>
    <xf numFmtId="0" fontId="0" fillId="0" borderId="0" xfId="0" applyFill="1"/>
    <xf numFmtId="0" fontId="13" fillId="0" borderId="0" xfId="0" applyFont="1" applyFill="1"/>
    <xf numFmtId="0" fontId="12" fillId="0" borderId="0" xfId="0" applyFont="1" applyFill="1"/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25" xfId="0" applyBorder="1"/>
    <xf numFmtId="0" fontId="10" fillId="0" borderId="22" xfId="0" applyFont="1" applyBorder="1"/>
    <xf numFmtId="0" fontId="10" fillId="0" borderId="24" xfId="0" applyFont="1" applyBorder="1"/>
    <xf numFmtId="0" fontId="2" fillId="0" borderId="25" xfId="0" applyFont="1" applyBorder="1"/>
    <xf numFmtId="9" fontId="0" fillId="0" borderId="0" xfId="2" applyFont="1" applyBorder="1"/>
    <xf numFmtId="0" fontId="0" fillId="0" borderId="22" xfId="0" applyFill="1" applyBorder="1"/>
    <xf numFmtId="9" fontId="0" fillId="0" borderId="0" xfId="2" applyFont="1" applyFill="1" applyBorder="1"/>
    <xf numFmtId="0" fontId="0" fillId="0" borderId="23" xfId="0" applyFill="1" applyBorder="1"/>
    <xf numFmtId="9" fontId="0" fillId="0" borderId="25" xfId="2" applyFont="1" applyBorder="1"/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" fillId="0" borderId="20" xfId="0" applyFont="1" applyBorder="1"/>
    <xf numFmtId="0" fontId="1" fillId="0" borderId="23" xfId="0" applyFont="1" applyBorder="1"/>
    <xf numFmtId="0" fontId="1" fillId="0" borderId="22" xfId="0" applyFont="1" applyBorder="1"/>
    <xf numFmtId="44" fontId="1" fillId="0" borderId="0" xfId="0" applyNumberFormat="1" applyFont="1" applyBorder="1"/>
    <xf numFmtId="44" fontId="1" fillId="0" borderId="23" xfId="0" applyNumberFormat="1" applyFont="1" applyBorder="1"/>
    <xf numFmtId="0" fontId="1" fillId="0" borderId="24" xfId="0" applyFont="1" applyBorder="1"/>
    <xf numFmtId="44" fontId="1" fillId="0" borderId="25" xfId="0" applyNumberFormat="1" applyFont="1" applyBorder="1"/>
    <xf numFmtId="44" fontId="1" fillId="0" borderId="26" xfId="0" applyNumberFormat="1" applyFont="1" applyBorder="1"/>
    <xf numFmtId="0" fontId="11" fillId="0" borderId="21" xfId="0" applyNumberFormat="1" applyFont="1" applyBorder="1"/>
    <xf numFmtId="0" fontId="2" fillId="0" borderId="24" xfId="0" applyFont="1" applyBorder="1"/>
    <xf numFmtId="0" fontId="11" fillId="0" borderId="26" xfId="0" applyFont="1" applyBorder="1"/>
    <xf numFmtId="44" fontId="1" fillId="4" borderId="4" xfId="0" applyNumberFormat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9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#,##0.00\ &quot;₽&quot;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#,##0.00\ &quot;₽&quot;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numFmt numFmtId="165" formatCode="#,##0.00\ &quot;₽&quot;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numFmt numFmtId="165" formatCode="#,##0.00\ &quot;₽&quot;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1;&#1077;&#1090;&#1086;%2017%20&#1075;&#1086;&#1076;&#1072;/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  <cell r="B1" t="str">
            <v>Подразделение</v>
          </cell>
          <cell r="D1" t="str">
            <v>Подразделение</v>
          </cell>
          <cell r="E1" t="str">
            <v>Фиксированная выплата менеджеру</v>
          </cell>
          <cell r="G1" t="str">
            <v>%</v>
          </cell>
          <cell r="H1">
            <v>0</v>
          </cell>
          <cell r="I1">
            <v>3</v>
          </cell>
          <cell r="J1">
            <v>7</v>
          </cell>
          <cell r="K1">
            <v>9</v>
          </cell>
          <cell r="L1">
            <v>11</v>
          </cell>
        </row>
        <row r="2">
          <cell r="A2" t="str">
            <v>Волокушин Иван Иванович</v>
          </cell>
          <cell r="B2" t="str">
            <v>Кондитерское Восток</v>
          </cell>
          <cell r="D2" t="str">
            <v>Кондитерское Восток</v>
          </cell>
          <cell r="E2">
            <v>3500</v>
          </cell>
          <cell r="G2">
            <v>0</v>
          </cell>
          <cell r="H2">
            <v>1.9E-2</v>
          </cell>
          <cell r="I2">
            <v>2.7E-2</v>
          </cell>
          <cell r="J2">
            <v>0.03</v>
          </cell>
          <cell r="K2">
            <v>3.7999999999999999E-2</v>
          </cell>
          <cell r="L2">
            <v>0.04</v>
          </cell>
        </row>
        <row r="3">
          <cell r="A3" t="str">
            <v>Григорьев Сергей Петрович</v>
          </cell>
          <cell r="B3" t="str">
            <v>Кондитерское Восток</v>
          </cell>
          <cell r="D3" t="str">
            <v>Кондитерское Запад</v>
          </cell>
          <cell r="E3">
            <v>4100</v>
          </cell>
          <cell r="G3">
            <v>10000</v>
          </cell>
          <cell r="H3">
            <v>0.03</v>
          </cell>
          <cell r="I3">
            <v>0.04</v>
          </cell>
          <cell r="J3">
            <v>4.4999999999999998E-2</v>
          </cell>
          <cell r="K3">
            <v>5.8000000000000003E-2</v>
          </cell>
          <cell r="L3">
            <v>0.06</v>
          </cell>
        </row>
        <row r="4">
          <cell r="A4" t="str">
            <v>Поснова Ольга Евгеньевна</v>
          </cell>
          <cell r="B4" t="str">
            <v>Кондитерское Восток</v>
          </cell>
          <cell r="G4">
            <v>25000</v>
          </cell>
          <cell r="H4">
            <v>0.05</v>
          </cell>
          <cell r="I4">
            <v>0.06</v>
          </cell>
          <cell r="J4">
            <v>7.0000000000000007E-2</v>
          </cell>
          <cell r="K4">
            <v>0.08</v>
          </cell>
          <cell r="L4">
            <v>8.5000000000000006E-2</v>
          </cell>
        </row>
        <row r="5">
          <cell r="A5" t="str">
            <v>Белова Анастасия Ивановна</v>
          </cell>
          <cell r="B5" t="str">
            <v>Кондитерское Запад</v>
          </cell>
          <cell r="G5">
            <v>38000</v>
          </cell>
          <cell r="H5">
            <v>7.0000000000000007E-2</v>
          </cell>
          <cell r="I5">
            <v>0.08</v>
          </cell>
          <cell r="J5">
            <v>8.5000000000000006E-2</v>
          </cell>
          <cell r="K5">
            <v>9.4E-2</v>
          </cell>
          <cell r="L5">
            <v>0.1</v>
          </cell>
        </row>
        <row r="6">
          <cell r="A6" t="str">
            <v>Ракушко Игорь Харитонович</v>
          </cell>
          <cell r="B6" t="str">
            <v>Кондитерское Запад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Пользователь Windows" refreshedDate="44528.779393750003" createdVersion="7" refreshedVersion="7" minRefreshableVersion="3" recordCount="130" xr:uid="{D7442851-588A-4EE1-9787-E7ED514247F8}">
  <cacheSource type="worksheet">
    <worksheetSource name="Таблица1"/>
  </cacheSource>
  <cacheFields count="12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MixedTypes="1" containsNumber="1" containsInteger="1" minValue="300" maxValue="10880"/>
    </cacheField>
    <cacheField name="Чистая стоимость" numFmtId="44">
      <sharedItems containsSemiMixedTypes="0" containsString="0" containsNumber="1" containsInteger="1" minValue="1320" maxValue="55000" count="89">
        <n v="4500"/>
        <n v="3520"/>
        <n v="14960"/>
        <n v="1750"/>
        <n v="1950"/>
        <n v="5440"/>
        <n v="14950"/>
        <n v="3200"/>
        <n v="6966"/>
        <n v="26100"/>
        <n v="55000"/>
        <n v="8160"/>
        <n v="2000"/>
        <n v="4860"/>
        <n v="26970"/>
        <n v="2880"/>
        <n v="13200"/>
        <n v="17680"/>
        <n v="2848"/>
        <n v="7560"/>
        <n v="8700"/>
        <n v="2520"/>
        <n v="5400"/>
        <n v="2240"/>
        <n v="1920"/>
        <n v="14442"/>
        <n v="10440"/>
        <n v="20900"/>
        <n v="19800"/>
        <n v="4000"/>
        <n v="2175"/>
        <n v="6600"/>
        <n v="4800"/>
        <n v="9585"/>
        <n v="11050"/>
        <n v="6500"/>
        <n v="9900"/>
        <n v="4950"/>
        <n v="4400"/>
        <n v="20150"/>
        <n v="7392"/>
        <n v="2560"/>
        <n v="1400"/>
        <n v="5590"/>
        <n v="1500"/>
        <n v="6400"/>
        <n v="13920"/>
        <n v="7800"/>
        <n v="13600"/>
        <n v="1320"/>
        <n v="4510"/>
        <n v="2720"/>
        <n v="2200"/>
        <n v="4160"/>
        <n v="2160"/>
        <n v="5220"/>
        <n v="8800"/>
        <n v="3600"/>
        <n v="2250"/>
        <n v="1792"/>
        <n v="4320"/>
        <n v="2600"/>
        <n v="6090"/>
        <n v="14300"/>
        <n v="18700"/>
        <n v="6664"/>
        <n v="3000"/>
        <n v="1800"/>
        <n v="11700"/>
        <n v="14790"/>
        <n v="4872"/>
        <n v="4545"/>
        <n v="6075"/>
        <n v="10880"/>
        <n v="5200"/>
        <n v="13050"/>
        <n v="11550"/>
        <n v="12650"/>
        <n v="3375"/>
        <n v="5940"/>
        <n v="5750"/>
        <n v="9000"/>
        <n v="3400"/>
        <n v="7650"/>
        <n v="4250"/>
        <n v="3024"/>
        <n v="1890"/>
        <n v="5850"/>
        <n v="5500"/>
      </sharedItems>
    </cacheField>
    <cacheField name="Чистое кол-во" numFmtId="0">
      <sharedItems containsSemiMixedTypes="0" containsString="0" containsNumber="1" containsInteger="1" minValue="12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x v="0"/>
    <n v="100"/>
  </r>
  <r>
    <d v="2017-01-11T00:00:00"/>
    <x v="0"/>
    <s v="ООО Четвертый"/>
    <x v="1"/>
    <n v="110"/>
    <n v="32"/>
    <n v="3520"/>
    <m/>
    <m/>
    <s v="0"/>
    <x v="1"/>
    <n v="110"/>
  </r>
  <r>
    <d v="2017-01-12T00:00:00"/>
    <x v="1"/>
    <s v="ООО Второй"/>
    <x v="2"/>
    <n v="110"/>
    <n v="136"/>
    <n v="14960"/>
    <m/>
    <m/>
    <s v="0"/>
    <x v="2"/>
    <n v="110"/>
  </r>
  <r>
    <d v="2017-01-17T00:00:00"/>
    <x v="2"/>
    <s v="ООО Первый"/>
    <x v="3"/>
    <n v="70"/>
    <n v="25"/>
    <n v="1750"/>
    <m/>
    <m/>
    <s v="0"/>
    <x v="3"/>
    <n v="70"/>
  </r>
  <r>
    <d v="2017-01-19T00:00:00"/>
    <x v="0"/>
    <s v="ООО Первый"/>
    <x v="3"/>
    <n v="78"/>
    <n v="25"/>
    <n v="1950"/>
    <m/>
    <m/>
    <s v="0"/>
    <x v="4"/>
    <n v="78"/>
  </r>
  <r>
    <d v="2017-01-24T00:00:00"/>
    <x v="3"/>
    <s v="ООО Четвертый"/>
    <x v="2"/>
    <n v="120"/>
    <n v="136"/>
    <n v="16320"/>
    <d v="2017-01-30T00:00:00"/>
    <n v="80"/>
    <n v="10880"/>
    <x v="5"/>
    <n v="40"/>
  </r>
  <r>
    <d v="2017-01-24T00:00:00"/>
    <x v="1"/>
    <s v="ООО Второй"/>
    <x v="4"/>
    <n v="230"/>
    <n v="65"/>
    <n v="14950"/>
    <m/>
    <m/>
    <s v="0"/>
    <x v="6"/>
    <n v="230"/>
  </r>
  <r>
    <d v="2017-01-25T00:00:00"/>
    <x v="3"/>
    <s v="ООО Первый"/>
    <x v="1"/>
    <n v="100"/>
    <n v="32"/>
    <n v="3200"/>
    <m/>
    <m/>
    <s v="0"/>
    <x v="7"/>
    <n v="100"/>
  </r>
  <r>
    <d v="2017-01-31T00:00:00"/>
    <x v="2"/>
    <s v="ООО Четвертый"/>
    <x v="5"/>
    <n v="129"/>
    <n v="54"/>
    <n v="6966"/>
    <m/>
    <m/>
    <s v="0"/>
    <x v="8"/>
    <n v="129"/>
  </r>
  <r>
    <d v="2017-02-02T00:00:00"/>
    <x v="4"/>
    <s v="ООО Четвертый"/>
    <x v="6"/>
    <n v="300"/>
    <n v="87"/>
    <n v="26100"/>
    <m/>
    <m/>
    <s v="0"/>
    <x v="9"/>
    <n v="300"/>
  </r>
  <r>
    <d v="2017-02-03T00:00:00"/>
    <x v="3"/>
    <s v="ООО Второй"/>
    <x v="7"/>
    <n v="500"/>
    <n v="110"/>
    <n v="55000"/>
    <m/>
    <m/>
    <s v="0"/>
    <x v="10"/>
    <n v="500"/>
  </r>
  <r>
    <d v="2017-02-03T00:00:00"/>
    <x v="4"/>
    <s v="ООО Первый"/>
    <x v="2"/>
    <n v="110"/>
    <n v="136"/>
    <n v="14960"/>
    <d v="2017-02-20T00:00:00"/>
    <n v="50"/>
    <n v="6800"/>
    <x v="11"/>
    <n v="60"/>
  </r>
  <r>
    <d v="2017-02-03T00:00:00"/>
    <x v="2"/>
    <s v="ООО Первый"/>
    <x v="3"/>
    <n v="80"/>
    <n v="25"/>
    <n v="2000"/>
    <m/>
    <m/>
    <s v="0"/>
    <x v="12"/>
    <n v="80"/>
  </r>
  <r>
    <d v="2017-02-08T00:00:00"/>
    <x v="0"/>
    <s v="ООО Четвертый"/>
    <x v="1"/>
    <n v="150"/>
    <n v="32"/>
    <n v="4800"/>
    <d v="2017-02-16T00:00:00"/>
    <n v="50"/>
    <n v="1600"/>
    <x v="7"/>
    <n v="100"/>
  </r>
  <r>
    <d v="2017-02-09T00:00:00"/>
    <x v="1"/>
    <s v="ООО Второй"/>
    <x v="5"/>
    <n v="90"/>
    <n v="54"/>
    <n v="4860"/>
    <m/>
    <m/>
    <s v="0"/>
    <x v="13"/>
    <n v="90"/>
  </r>
  <r>
    <d v="2017-02-17T00:00:00"/>
    <x v="0"/>
    <s v="ООО Четвертый"/>
    <x v="6"/>
    <n v="310"/>
    <n v="87"/>
    <n v="26970"/>
    <m/>
    <m/>
    <s v="0"/>
    <x v="14"/>
    <n v="310"/>
  </r>
  <r>
    <d v="2017-02-17T00:00:00"/>
    <x v="0"/>
    <s v="ООО Четвертый"/>
    <x v="1"/>
    <n v="100"/>
    <n v="32"/>
    <n v="3200"/>
    <d v="2017-03-01T00:00:00"/>
    <n v="10"/>
    <n v="320"/>
    <x v="15"/>
    <n v="90"/>
  </r>
  <r>
    <d v="2017-02-20T00:00:00"/>
    <x v="1"/>
    <s v="ООО Четвертый"/>
    <x v="7"/>
    <n v="120"/>
    <n v="110"/>
    <n v="13200"/>
    <m/>
    <m/>
    <s v="0"/>
    <x v="16"/>
    <n v="120"/>
  </r>
  <r>
    <d v="2017-02-21T00:00:00"/>
    <x v="2"/>
    <s v="ООО Второй"/>
    <x v="2"/>
    <n v="130"/>
    <n v="136"/>
    <n v="17680"/>
    <m/>
    <m/>
    <s v="0"/>
    <x v="17"/>
    <n v="130"/>
  </r>
  <r>
    <d v="2017-02-21T00:00:00"/>
    <x v="0"/>
    <s v="ООО Первый"/>
    <x v="3"/>
    <n v="78"/>
    <n v="25"/>
    <n v="1950"/>
    <m/>
    <m/>
    <s v="0"/>
    <x v="4"/>
    <n v="78"/>
  </r>
  <r>
    <d v="2017-03-13T00:00:00"/>
    <x v="3"/>
    <s v="ООО Первый"/>
    <x v="1"/>
    <n v="89"/>
    <n v="32"/>
    <n v="2848"/>
    <m/>
    <m/>
    <s v="0"/>
    <x v="18"/>
    <n v="89"/>
  </r>
  <r>
    <d v="2017-03-13T00:00:00"/>
    <x v="1"/>
    <s v="ООО Четвертый"/>
    <x v="5"/>
    <n v="140"/>
    <n v="54"/>
    <n v="7560"/>
    <m/>
    <m/>
    <s v="0"/>
    <x v="19"/>
    <n v="140"/>
  </r>
  <r>
    <d v="2017-03-14T00:00:00"/>
    <x v="2"/>
    <s v="ООО Второй"/>
    <x v="6"/>
    <n v="160"/>
    <n v="87"/>
    <n v="13920"/>
    <d v="2017-03-29T00:00:00"/>
    <n v="60"/>
    <n v="5220"/>
    <x v="20"/>
    <n v="100"/>
  </r>
  <r>
    <d v="2017-03-15T00:00:00"/>
    <x v="4"/>
    <s v="ООО Четвертый"/>
    <x v="7"/>
    <n v="160"/>
    <n v="110"/>
    <n v="17600"/>
    <d v="2017-03-30T00:00:00"/>
    <n v="40"/>
    <n v="4400"/>
    <x v="16"/>
    <n v="120"/>
  </r>
  <r>
    <d v="2017-03-16T00:00:00"/>
    <x v="3"/>
    <s v="ООО Четвертый"/>
    <x v="0"/>
    <n v="56"/>
    <n v="45"/>
    <n v="2520"/>
    <m/>
    <m/>
    <s v="0"/>
    <x v="21"/>
    <n v="56"/>
  </r>
  <r>
    <d v="2017-03-17T00:00:00"/>
    <x v="4"/>
    <s v="ООО Второй"/>
    <x v="0"/>
    <n v="120"/>
    <n v="45"/>
    <n v="5400"/>
    <m/>
    <m/>
    <s v="0"/>
    <x v="22"/>
    <n v="120"/>
  </r>
  <r>
    <d v="2017-03-17T00:00:00"/>
    <x v="2"/>
    <s v="ООО Первый"/>
    <x v="1"/>
    <n v="80"/>
    <n v="32"/>
    <n v="2560"/>
    <d v="2017-03-20T00:00:00"/>
    <n v="10"/>
    <n v="320"/>
    <x v="23"/>
    <n v="70"/>
  </r>
  <r>
    <d v="2017-03-17T00:00:00"/>
    <x v="0"/>
    <s v="ООО Первый"/>
    <x v="1"/>
    <n v="70"/>
    <n v="32"/>
    <n v="2240"/>
    <m/>
    <m/>
    <s v="0"/>
    <x v="23"/>
    <n v="70"/>
  </r>
  <r>
    <d v="2017-03-18T00:00:00"/>
    <x v="0"/>
    <s v="ООО Четвертый"/>
    <x v="1"/>
    <n v="60"/>
    <n v="32"/>
    <n v="1920"/>
    <m/>
    <m/>
    <s v="0"/>
    <x v="24"/>
    <n v="60"/>
  </r>
  <r>
    <d v="2017-03-20T00:00:00"/>
    <x v="0"/>
    <s v="ООО Второй"/>
    <x v="5"/>
    <n v="150"/>
    <n v="54"/>
    <n v="8100"/>
    <d v="2017-04-01T00:00:00"/>
    <n v="50"/>
    <n v="2700"/>
    <x v="22"/>
    <n v="100"/>
  </r>
  <r>
    <d v="2017-03-20T00:00:00"/>
    <x v="1"/>
    <s v="ООО Второй"/>
    <x v="6"/>
    <n v="166"/>
    <n v="87"/>
    <n v="14442"/>
    <m/>
    <m/>
    <s v="0"/>
    <x v="25"/>
    <n v="166"/>
  </r>
  <r>
    <d v="2017-03-21T00:00:00"/>
    <x v="3"/>
    <s v="ООО Четвертый"/>
    <x v="6"/>
    <n v="120"/>
    <n v="87"/>
    <n v="10440"/>
    <m/>
    <m/>
    <s v="0"/>
    <x v="26"/>
    <n v="120"/>
  </r>
  <r>
    <d v="2017-03-23T00:00:00"/>
    <x v="0"/>
    <s v="ООО Второй"/>
    <x v="7"/>
    <n v="190"/>
    <n v="110"/>
    <n v="20900"/>
    <m/>
    <m/>
    <s v="0"/>
    <x v="27"/>
    <n v="190"/>
  </r>
  <r>
    <d v="2017-03-24T00:00:00"/>
    <x v="1"/>
    <s v="ООО Четвертый"/>
    <x v="7"/>
    <n v="210"/>
    <n v="110"/>
    <n v="23100"/>
    <d v="2017-04-02T00:00:00"/>
    <n v="30"/>
    <n v="3300"/>
    <x v="28"/>
    <n v="180"/>
  </r>
  <r>
    <d v="2017-03-27T00:00:00"/>
    <x v="2"/>
    <s v="ООО Четвертый"/>
    <x v="3"/>
    <n v="160"/>
    <n v="25"/>
    <n v="4000"/>
    <m/>
    <m/>
    <s v="0"/>
    <x v="29"/>
    <n v="160"/>
  </r>
  <r>
    <d v="2017-04-13T00:00:00"/>
    <x v="4"/>
    <s v="ООО Четвертый"/>
    <x v="6"/>
    <n v="120"/>
    <n v="87"/>
    <n v="10440"/>
    <m/>
    <m/>
    <s v="0"/>
    <x v="26"/>
    <n v="120"/>
  </r>
  <r>
    <d v="2017-04-14T00:00:00"/>
    <x v="2"/>
    <s v="ООО Второй"/>
    <x v="3"/>
    <n v="135"/>
    <n v="25"/>
    <n v="3375"/>
    <d v="2017-04-23T00:00:00"/>
    <n v="48"/>
    <n v="1200"/>
    <x v="30"/>
    <n v="87"/>
  </r>
  <r>
    <d v="2017-04-14T00:00:00"/>
    <x v="0"/>
    <s v="ООО Первый"/>
    <x v="3"/>
    <n v="80"/>
    <n v="25"/>
    <n v="2000"/>
    <m/>
    <m/>
    <s v="0"/>
    <x v="12"/>
    <n v="80"/>
  </r>
  <r>
    <d v="2017-04-18T00:00:00"/>
    <x v="3"/>
    <s v="ООО Первый"/>
    <x v="7"/>
    <n v="80"/>
    <n v="110"/>
    <n v="8800"/>
    <d v="2017-04-22T00:00:00"/>
    <n v="20"/>
    <n v="2200"/>
    <x v="31"/>
    <n v="60"/>
  </r>
  <r>
    <d v="2017-04-17T00:00:00"/>
    <x v="0"/>
    <s v="ООО Четвертый"/>
    <x v="1"/>
    <n v="150"/>
    <n v="32"/>
    <n v="4800"/>
    <m/>
    <m/>
    <s v="0"/>
    <x v="32"/>
    <n v="150"/>
  </r>
  <r>
    <d v="2017-04-17T00:00:00"/>
    <x v="1"/>
    <s v="ООО Второй"/>
    <x v="0"/>
    <n v="213"/>
    <n v="45"/>
    <n v="9585"/>
    <m/>
    <m/>
    <s v="0"/>
    <x v="33"/>
    <n v="213"/>
  </r>
  <r>
    <d v="2017-04-17T00:00:00"/>
    <x v="3"/>
    <s v="ООО Второй"/>
    <x v="4"/>
    <n v="210"/>
    <n v="65"/>
    <n v="13650"/>
    <d v="2017-04-25T00:00:00"/>
    <n v="40"/>
    <n v="2600"/>
    <x v="34"/>
    <n v="170"/>
  </r>
  <r>
    <d v="2017-04-18T00:00:00"/>
    <x v="3"/>
    <s v="ООО Второй"/>
    <x v="7"/>
    <n v="120"/>
    <n v="110"/>
    <n v="13200"/>
    <m/>
    <m/>
    <s v="0"/>
    <x v="16"/>
    <n v="120"/>
  </r>
  <r>
    <d v="2017-04-19T00:00:00"/>
    <x v="0"/>
    <s v="ООО Первый"/>
    <x v="4"/>
    <n v="100"/>
    <n v="65"/>
    <n v="6500"/>
    <m/>
    <m/>
    <s v="0"/>
    <x v="35"/>
    <n v="100"/>
  </r>
  <r>
    <d v="2017-04-20T00:00:00"/>
    <x v="0"/>
    <s v="ООО Четвертый"/>
    <x v="7"/>
    <n v="90"/>
    <n v="110"/>
    <n v="9900"/>
    <m/>
    <m/>
    <s v="0"/>
    <x v="36"/>
    <n v="90"/>
  </r>
  <r>
    <d v="2017-04-21T00:00:00"/>
    <x v="2"/>
    <s v="ООО Второй"/>
    <x v="0"/>
    <n v="110"/>
    <n v="45"/>
    <n v="4950"/>
    <m/>
    <m/>
    <s v="0"/>
    <x v="37"/>
    <n v="110"/>
  </r>
  <r>
    <d v="2017-04-20T00:00:00"/>
    <x v="0"/>
    <s v="ООО Четвертый"/>
    <x v="7"/>
    <n v="100"/>
    <n v="110"/>
    <n v="11000"/>
    <d v="2017-04-30T00:00:00"/>
    <n v="60"/>
    <n v="6600"/>
    <x v="38"/>
    <n v="40"/>
  </r>
  <r>
    <d v="2017-04-21T00:00:00"/>
    <x v="4"/>
    <s v="ООО Второй"/>
    <x v="4"/>
    <n v="310"/>
    <n v="65"/>
    <n v="20150"/>
    <m/>
    <m/>
    <s v="0"/>
    <x v="39"/>
    <n v="310"/>
  </r>
  <r>
    <d v="2017-04-22T00:00:00"/>
    <x v="2"/>
    <s v="ООО Четвертый"/>
    <x v="1"/>
    <n v="231"/>
    <n v="32"/>
    <n v="7392"/>
    <m/>
    <m/>
    <s v="0"/>
    <x v="40"/>
    <n v="231"/>
  </r>
  <r>
    <d v="2017-04-24T00:00:00"/>
    <x v="0"/>
    <s v="ООО Второй"/>
    <x v="1"/>
    <n v="80"/>
    <n v="32"/>
    <n v="2560"/>
    <m/>
    <m/>
    <s v="0"/>
    <x v="41"/>
    <n v="80"/>
  </r>
  <r>
    <d v="2017-04-24T00:00:00"/>
    <x v="4"/>
    <s v="ООО Первый"/>
    <x v="1"/>
    <n v="60"/>
    <n v="32"/>
    <n v="1920"/>
    <m/>
    <m/>
    <s v="0"/>
    <x v="24"/>
    <n v="60"/>
  </r>
  <r>
    <d v="2017-05-17T00:00:00"/>
    <x v="2"/>
    <s v="ООО Первый"/>
    <x v="1"/>
    <n v="130"/>
    <n v="32"/>
    <n v="4160"/>
    <d v="2017-05-20T00:00:00"/>
    <n v="30"/>
    <n v="960"/>
    <x v="7"/>
    <n v="100"/>
  </r>
  <r>
    <d v="2017-05-25T00:00:00"/>
    <x v="2"/>
    <s v="ООО Первый"/>
    <x v="3"/>
    <n v="56"/>
    <n v="25"/>
    <n v="1400"/>
    <m/>
    <m/>
    <s v="0"/>
    <x v="42"/>
    <n v="56"/>
  </r>
  <r>
    <d v="2017-05-25T00:00:00"/>
    <x v="4"/>
    <s v="ООО Четвертый"/>
    <x v="4"/>
    <n v="120"/>
    <n v="65"/>
    <n v="7800"/>
    <d v="2017-06-01T00:00:00"/>
    <n v="34"/>
    <n v="2210"/>
    <x v="43"/>
    <n v="86"/>
  </r>
  <r>
    <d v="2017-05-26T00:00:00"/>
    <x v="4"/>
    <s v="ООО Четвертый"/>
    <x v="1"/>
    <n v="100"/>
    <n v="32"/>
    <n v="3200"/>
    <m/>
    <m/>
    <s v="0"/>
    <x v="7"/>
    <n v="100"/>
  </r>
  <r>
    <d v="2017-05-26T00:00:00"/>
    <x v="2"/>
    <s v="ООО Второй"/>
    <x v="3"/>
    <n v="60"/>
    <n v="25"/>
    <n v="1500"/>
    <m/>
    <m/>
    <s v="0"/>
    <x v="44"/>
    <n v="60"/>
  </r>
  <r>
    <d v="2017-05-27T00:00:00"/>
    <x v="2"/>
    <s v="ООО Второй"/>
    <x v="1"/>
    <n v="200"/>
    <n v="32"/>
    <n v="6400"/>
    <m/>
    <m/>
    <s v="0"/>
    <x v="45"/>
    <n v="200"/>
  </r>
  <r>
    <d v="2017-06-06T00:00:00"/>
    <x v="1"/>
    <s v="ООО Второй"/>
    <x v="6"/>
    <n v="210"/>
    <n v="87"/>
    <n v="18270"/>
    <d v="2017-06-18T00:00:00"/>
    <n v="50"/>
    <n v="4350"/>
    <x v="46"/>
    <n v="160"/>
  </r>
  <r>
    <d v="2017-06-08T00:00:00"/>
    <x v="2"/>
    <s v="ООО Первый"/>
    <x v="4"/>
    <n v="120"/>
    <n v="65"/>
    <n v="7800"/>
    <m/>
    <m/>
    <s v="0"/>
    <x v="47"/>
    <n v="120"/>
  </r>
  <r>
    <d v="2017-06-09T00:00:00"/>
    <x v="4"/>
    <s v="ООО Первый"/>
    <x v="2"/>
    <n v="180"/>
    <n v="136"/>
    <n v="24480"/>
    <d v="2017-06-28T00:00:00"/>
    <n v="80"/>
    <n v="10880"/>
    <x v="48"/>
    <n v="100"/>
  </r>
  <r>
    <d v="2017-06-10T00:00:00"/>
    <x v="4"/>
    <s v="ООО Четвертый"/>
    <x v="7"/>
    <n v="12"/>
    <n v="110"/>
    <n v="1320"/>
    <m/>
    <m/>
    <s v="0"/>
    <x v="49"/>
    <n v="12"/>
  </r>
  <r>
    <d v="2017-06-13T00:00:00"/>
    <x v="0"/>
    <s v="ООО Второй"/>
    <x v="6"/>
    <n v="160"/>
    <n v="87"/>
    <n v="13920"/>
    <m/>
    <m/>
    <s v="0"/>
    <x v="46"/>
    <n v="160"/>
  </r>
  <r>
    <d v="2017-06-12T00:00:00"/>
    <x v="1"/>
    <s v="ООО Второй"/>
    <x v="7"/>
    <n v="41"/>
    <n v="110"/>
    <n v="4510"/>
    <m/>
    <m/>
    <s v="0"/>
    <x v="50"/>
    <n v="41"/>
  </r>
  <r>
    <d v="2017-06-13T00:00:00"/>
    <x v="0"/>
    <s v="ООО Второй"/>
    <x v="2"/>
    <n v="20"/>
    <n v="136"/>
    <n v="2720"/>
    <m/>
    <m/>
    <s v="0"/>
    <x v="51"/>
    <n v="20"/>
  </r>
  <r>
    <d v="2017-06-15T00:00:00"/>
    <x v="1"/>
    <s v="ООО Первый"/>
    <x v="3"/>
    <n v="100"/>
    <n v="25"/>
    <n v="2500"/>
    <d v="2017-07-01T00:00:00"/>
    <n v="12"/>
    <n v="300"/>
    <x v="52"/>
    <n v="88"/>
  </r>
  <r>
    <d v="2017-06-15T00:00:00"/>
    <x v="4"/>
    <s v="ООО Первый"/>
    <x v="1"/>
    <n v="210"/>
    <n v="32"/>
    <n v="6720"/>
    <d v="2017-06-26T00:00:00"/>
    <n v="80"/>
    <n v="2560"/>
    <x v="53"/>
    <n v="130"/>
  </r>
  <r>
    <d v="2017-07-15T00:00:00"/>
    <x v="2"/>
    <s v="ООО Первый"/>
    <x v="1"/>
    <n v="100"/>
    <n v="32"/>
    <n v="3200"/>
    <m/>
    <m/>
    <s v="0"/>
    <x v="7"/>
    <n v="100"/>
  </r>
  <r>
    <d v="2017-07-16T00:00:00"/>
    <x v="4"/>
    <s v="ООО Четвертый"/>
    <x v="5"/>
    <n v="40"/>
    <n v="54"/>
    <n v="2160"/>
    <m/>
    <m/>
    <s v="0"/>
    <x v="54"/>
    <n v="40"/>
  </r>
  <r>
    <d v="2017-07-17T00:00:00"/>
    <x v="2"/>
    <s v="ООО Второй"/>
    <x v="6"/>
    <n v="60"/>
    <n v="87"/>
    <n v="5220"/>
    <m/>
    <m/>
    <s v="0"/>
    <x v="55"/>
    <n v="60"/>
  </r>
  <r>
    <d v="2017-07-18T00:00:00"/>
    <x v="0"/>
    <s v="ООО Второй"/>
    <x v="7"/>
    <n v="90"/>
    <n v="110"/>
    <n v="9900"/>
    <d v="2017-07-20T00:00:00"/>
    <n v="10"/>
    <n v="1100"/>
    <x v="56"/>
    <n v="80"/>
  </r>
  <r>
    <d v="2017-07-19T00:00:00"/>
    <x v="1"/>
    <s v="ООО Второй"/>
    <x v="2"/>
    <n v="100"/>
    <n v="136"/>
    <n v="13600"/>
    <m/>
    <m/>
    <s v="0"/>
    <x v="48"/>
    <n v="100"/>
  </r>
  <r>
    <d v="2017-07-20T00:00:00"/>
    <x v="0"/>
    <s v="ООО Первый"/>
    <x v="0"/>
    <n v="80"/>
    <n v="45"/>
    <n v="3600"/>
    <m/>
    <m/>
    <s v="0"/>
    <x v="57"/>
    <n v="80"/>
  </r>
  <r>
    <d v="2017-07-21T00:00:00"/>
    <x v="1"/>
    <s v="ООО Первый"/>
    <x v="3"/>
    <n v="90"/>
    <n v="25"/>
    <n v="2250"/>
    <m/>
    <m/>
    <s v="0"/>
    <x v="58"/>
    <n v="90"/>
  </r>
  <r>
    <d v="2017-07-22T00:00:00"/>
    <x v="4"/>
    <s v="ООО Первый"/>
    <x v="1"/>
    <n v="56"/>
    <n v="32"/>
    <n v="1792"/>
    <m/>
    <m/>
    <s v="0"/>
    <x v="59"/>
    <n v="56"/>
  </r>
  <r>
    <d v="2017-07-23T00:00:00"/>
    <x v="2"/>
    <s v="ООО Четвертый"/>
    <x v="0"/>
    <n v="120"/>
    <n v="45"/>
    <n v="5400"/>
    <d v="2017-07-27T00:00:00"/>
    <n v="40"/>
    <n v="1800"/>
    <x v="57"/>
    <n v="80"/>
  </r>
  <r>
    <d v="2017-07-24T00:00:00"/>
    <x v="4"/>
    <s v="ООО Второй"/>
    <x v="5"/>
    <n v="80"/>
    <n v="54"/>
    <n v="4320"/>
    <m/>
    <m/>
    <s v="0"/>
    <x v="60"/>
    <n v="80"/>
  </r>
  <r>
    <d v="2017-07-24T00:00:00"/>
    <x v="4"/>
    <s v="ООО Второй"/>
    <x v="5"/>
    <n v="80"/>
    <n v="54"/>
    <n v="4320"/>
    <m/>
    <m/>
    <s v="0"/>
    <x v="60"/>
    <n v="80"/>
  </r>
  <r>
    <d v="2017-07-25T00:00:00"/>
    <x v="2"/>
    <s v="ООО Второй"/>
    <x v="4"/>
    <n v="40"/>
    <n v="65"/>
    <n v="2600"/>
    <m/>
    <m/>
    <s v="0"/>
    <x v="61"/>
    <n v="40"/>
  </r>
  <r>
    <d v="2017-07-25T00:00:00"/>
    <x v="2"/>
    <s v="ООО Второй"/>
    <x v="4"/>
    <n v="40"/>
    <n v="65"/>
    <n v="2600"/>
    <m/>
    <m/>
    <s v="0"/>
    <x v="61"/>
    <n v="40"/>
  </r>
  <r>
    <d v="2017-07-26T00:00:00"/>
    <x v="0"/>
    <s v="ООО Второй"/>
    <x v="6"/>
    <n v="70"/>
    <n v="87"/>
    <n v="6090"/>
    <d v="2017-08-01T00:00:00"/>
    <n v="10"/>
    <n v="870"/>
    <x v="55"/>
    <n v="60"/>
  </r>
  <r>
    <d v="2017-07-26T00:00:00"/>
    <x v="0"/>
    <s v="ООО Второй"/>
    <x v="6"/>
    <n v="70"/>
    <n v="87"/>
    <n v="6090"/>
    <m/>
    <m/>
    <s v="0"/>
    <x v="62"/>
    <n v="70"/>
  </r>
  <r>
    <d v="2017-07-27T00:00:00"/>
    <x v="1"/>
    <s v="ООО Первый"/>
    <x v="7"/>
    <n v="170"/>
    <n v="110"/>
    <n v="18700"/>
    <d v="2014-07-30T00:00:00"/>
    <n v="40"/>
    <n v="4400"/>
    <x v="63"/>
    <n v="130"/>
  </r>
  <r>
    <d v="2017-07-27T00:00:00"/>
    <x v="1"/>
    <s v="ООО Первый"/>
    <x v="7"/>
    <n v="170"/>
    <n v="110"/>
    <n v="18700"/>
    <m/>
    <m/>
    <s v="0"/>
    <x v="64"/>
    <n v="170"/>
  </r>
  <r>
    <d v="2017-07-28T00:00:00"/>
    <x v="0"/>
    <s v="ООО Первый"/>
    <x v="2"/>
    <n v="49"/>
    <n v="136"/>
    <n v="6664"/>
    <m/>
    <m/>
    <s v="0"/>
    <x v="65"/>
    <n v="49"/>
  </r>
  <r>
    <d v="2017-07-29T00:00:00"/>
    <x v="3"/>
    <s v="ООО Первый"/>
    <x v="3"/>
    <n v="120"/>
    <n v="25"/>
    <n v="3000"/>
    <m/>
    <m/>
    <s v="0"/>
    <x v="66"/>
    <n v="120"/>
  </r>
  <r>
    <d v="2017-08-09T00:00:00"/>
    <x v="2"/>
    <s v="ООО Четвертый"/>
    <x v="1"/>
    <n v="100"/>
    <n v="32"/>
    <n v="3200"/>
    <m/>
    <m/>
    <s v="0"/>
    <x v="7"/>
    <n v="100"/>
  </r>
  <r>
    <d v="2017-08-10T00:00:00"/>
    <x v="4"/>
    <s v="ООО Второй"/>
    <x v="0"/>
    <n v="50"/>
    <n v="45"/>
    <n v="2250"/>
    <d v="2017-08-12T00:00:00"/>
    <n v="10"/>
    <n v="450"/>
    <x v="67"/>
    <n v="40"/>
  </r>
  <r>
    <d v="2017-08-11T00:00:00"/>
    <x v="2"/>
    <s v="ООО Первый"/>
    <x v="5"/>
    <n v="100"/>
    <n v="54"/>
    <n v="5400"/>
    <m/>
    <m/>
    <s v="0"/>
    <x v="22"/>
    <n v="100"/>
  </r>
  <r>
    <d v="2017-08-12T00:00:00"/>
    <x v="0"/>
    <s v="ООО Первый"/>
    <x v="4"/>
    <n v="180"/>
    <n v="65"/>
    <n v="11700"/>
    <m/>
    <m/>
    <s v="0"/>
    <x v="68"/>
    <n v="180"/>
  </r>
  <r>
    <d v="2017-08-13T00:00:00"/>
    <x v="1"/>
    <s v="ООО Четвертый"/>
    <x v="6"/>
    <n v="170"/>
    <n v="87"/>
    <n v="14790"/>
    <m/>
    <m/>
    <s v="0"/>
    <x v="69"/>
    <n v="170"/>
  </r>
  <r>
    <d v="2017-08-14T00:00:00"/>
    <x v="0"/>
    <s v="ООО Второй"/>
    <x v="7"/>
    <n v="80"/>
    <n v="110"/>
    <n v="8800"/>
    <m/>
    <m/>
    <s v="0"/>
    <x v="56"/>
    <n v="80"/>
  </r>
  <r>
    <d v="2017-08-14T00:00:00"/>
    <x v="0"/>
    <s v="ООО Второй"/>
    <x v="7"/>
    <n v="80"/>
    <n v="110"/>
    <n v="8800"/>
    <d v="2017-08-20T00:00:00"/>
    <n v="20"/>
    <n v="2200"/>
    <x v="31"/>
    <n v="60"/>
  </r>
  <r>
    <d v="2017-08-15T00:00:00"/>
    <x v="3"/>
    <s v="ООО Второй"/>
    <x v="2"/>
    <n v="60"/>
    <n v="136"/>
    <n v="8160"/>
    <m/>
    <m/>
    <s v="0"/>
    <x v="11"/>
    <n v="60"/>
  </r>
  <r>
    <d v="2017-08-15T00:00:00"/>
    <x v="3"/>
    <s v="ООО Второй"/>
    <x v="7"/>
    <n v="60"/>
    <n v="110"/>
    <n v="6600"/>
    <m/>
    <m/>
    <s v="0"/>
    <x v="31"/>
    <n v="60"/>
  </r>
  <r>
    <d v="2017-08-16T00:00:00"/>
    <x v="2"/>
    <s v="ООО Второй"/>
    <x v="3"/>
    <n v="130"/>
    <n v="25"/>
    <n v="3250"/>
    <d v="2017-08-20T00:00:00"/>
    <n v="40"/>
    <n v="1000"/>
    <x v="58"/>
    <n v="90"/>
  </r>
  <r>
    <d v="2017-08-16T00:00:00"/>
    <x v="2"/>
    <s v="ООО Второй"/>
    <x v="1"/>
    <n v="130"/>
    <n v="32"/>
    <n v="4160"/>
    <m/>
    <m/>
    <s v="0"/>
    <x v="53"/>
    <n v="130"/>
  </r>
  <r>
    <d v="2017-08-17T00:00:00"/>
    <x v="0"/>
    <s v="ООО Четвертый"/>
    <x v="1"/>
    <n v="56"/>
    <n v="32"/>
    <n v="1792"/>
    <m/>
    <m/>
    <s v="0"/>
    <x v="59"/>
    <n v="56"/>
  </r>
  <r>
    <d v="2017-08-17T00:00:00"/>
    <x v="3"/>
    <s v="ООО Четвертый"/>
    <x v="6"/>
    <n v="56"/>
    <n v="87"/>
    <n v="4872"/>
    <m/>
    <m/>
    <s v="0"/>
    <x v="70"/>
    <n v="56"/>
  </r>
  <r>
    <d v="2017-08-18T00:00:00"/>
    <x v="2"/>
    <s v="ООО Четвертый"/>
    <x v="0"/>
    <n v="135"/>
    <n v="45"/>
    <n v="6075"/>
    <d v="2017-08-22T00:00:00"/>
    <n v="34"/>
    <n v="1530"/>
    <x v="71"/>
    <n v="101"/>
  </r>
  <r>
    <d v="2017-08-18T00:00:00"/>
    <x v="4"/>
    <s v="ООО Четвертый"/>
    <x v="0"/>
    <n v="135"/>
    <n v="45"/>
    <n v="6075"/>
    <m/>
    <m/>
    <s v="0"/>
    <x v="72"/>
    <n v="135"/>
  </r>
  <r>
    <d v="2017-08-19T00:00:00"/>
    <x v="2"/>
    <s v="ООО Второй"/>
    <x v="5"/>
    <n v="80"/>
    <n v="54"/>
    <n v="4320"/>
    <m/>
    <m/>
    <s v="0"/>
    <x v="60"/>
    <n v="80"/>
  </r>
  <r>
    <d v="2017-08-19T00:00:00"/>
    <x v="0"/>
    <s v="ООО Второй"/>
    <x v="2"/>
    <n v="80"/>
    <n v="136"/>
    <n v="10880"/>
    <m/>
    <m/>
    <s v="0"/>
    <x v="73"/>
    <n v="80"/>
  </r>
  <r>
    <d v="2017-08-20T00:00:00"/>
    <x v="1"/>
    <s v="ООО Первый"/>
    <x v="4"/>
    <n v="80"/>
    <n v="65"/>
    <n v="5200"/>
    <m/>
    <m/>
    <s v="0"/>
    <x v="74"/>
    <n v="80"/>
  </r>
  <r>
    <d v="2017-08-20T00:00:00"/>
    <x v="1"/>
    <s v="ООО Первый"/>
    <x v="1"/>
    <n v="80"/>
    <n v="32"/>
    <n v="2560"/>
    <m/>
    <m/>
    <s v="0"/>
    <x v="41"/>
    <n v="80"/>
  </r>
  <r>
    <d v="2017-08-21T00:00:00"/>
    <x v="0"/>
    <s v="ООО Первый"/>
    <x v="6"/>
    <n v="150"/>
    <n v="87"/>
    <n v="13050"/>
    <m/>
    <m/>
    <s v="0"/>
    <x v="75"/>
    <n v="150"/>
  </r>
  <r>
    <d v="2017-08-21T00:00:00"/>
    <x v="0"/>
    <s v="ООО Первый"/>
    <x v="7"/>
    <n v="150"/>
    <n v="110"/>
    <n v="16500"/>
    <d v="2017-08-25T00:00:00"/>
    <n v="45"/>
    <n v="4950"/>
    <x v="76"/>
    <n v="105"/>
  </r>
  <r>
    <d v="2017-08-22T00:00:00"/>
    <x v="3"/>
    <s v="ООО Четвертый"/>
    <x v="7"/>
    <n v="135"/>
    <n v="110"/>
    <n v="14850"/>
    <d v="2017-08-24T00:00:00"/>
    <n v="20"/>
    <n v="2200"/>
    <x v="77"/>
    <n v="115"/>
  </r>
  <r>
    <d v="2017-08-22T00:00:00"/>
    <x v="3"/>
    <s v="ООО Четвертый"/>
    <x v="3"/>
    <n v="135"/>
    <n v="25"/>
    <n v="3375"/>
    <m/>
    <m/>
    <s v="0"/>
    <x v="78"/>
    <n v="135"/>
  </r>
  <r>
    <d v="2017-08-23T00:00:00"/>
    <x v="2"/>
    <s v="ООО Второй"/>
    <x v="2"/>
    <n v="80"/>
    <n v="136"/>
    <n v="10880"/>
    <m/>
    <m/>
    <s v="0"/>
    <x v="73"/>
    <n v="80"/>
  </r>
  <r>
    <d v="2017-08-23T00:00:00"/>
    <x v="3"/>
    <s v="ООО Второй"/>
    <x v="7"/>
    <n v="80"/>
    <n v="110"/>
    <n v="8800"/>
    <d v="2017-08-25T00:00:00"/>
    <n v="20"/>
    <n v="2200"/>
    <x v="31"/>
    <n v="60"/>
  </r>
  <r>
    <d v="2018-09-03T00:00:00"/>
    <x v="4"/>
    <s v="ООО Первый"/>
    <x v="3"/>
    <n v="80"/>
    <n v="25"/>
    <n v="2000"/>
    <m/>
    <m/>
    <s v="0"/>
    <x v="12"/>
    <n v="80"/>
  </r>
  <r>
    <d v="2018-09-03T00:00:00"/>
    <x v="4"/>
    <s v="ООО Первый"/>
    <x v="4"/>
    <n v="80"/>
    <n v="65"/>
    <n v="5200"/>
    <m/>
    <m/>
    <s v="0"/>
    <x v="74"/>
    <n v="80"/>
  </r>
  <r>
    <d v="2018-09-04T00:00:00"/>
    <x v="0"/>
    <s v="ООО Второй"/>
    <x v="7"/>
    <n v="90"/>
    <n v="110"/>
    <n v="9900"/>
    <m/>
    <m/>
    <s v="0"/>
    <x v="36"/>
    <n v="90"/>
  </r>
  <r>
    <d v="2018-09-04T00:00:00"/>
    <x v="0"/>
    <s v="ООО Второй"/>
    <x v="2"/>
    <n v="80"/>
    <n v="136"/>
    <n v="10880"/>
    <m/>
    <m/>
    <s v="0"/>
    <x v="73"/>
    <n v="80"/>
  </r>
  <r>
    <d v="2018-09-05T00:00:00"/>
    <x v="3"/>
    <s v="ООО Второй"/>
    <x v="2"/>
    <n v="160"/>
    <n v="136"/>
    <n v="21760"/>
    <d v="2017-09-08T00:00:00"/>
    <n v="30"/>
    <n v="4080"/>
    <x v="17"/>
    <n v="130"/>
  </r>
  <r>
    <d v="2018-09-05T00:00:00"/>
    <x v="2"/>
    <s v="ООО Второй"/>
    <x v="5"/>
    <n v="110"/>
    <n v="54"/>
    <n v="5940"/>
    <m/>
    <m/>
    <s v="0"/>
    <x v="79"/>
    <n v="110"/>
  </r>
  <r>
    <d v="2018-09-06T00:00:00"/>
    <x v="2"/>
    <s v="ООО Четвертый"/>
    <x v="3"/>
    <n v="230"/>
    <n v="25"/>
    <n v="5750"/>
    <m/>
    <m/>
    <s v="0"/>
    <x v="80"/>
    <n v="230"/>
  </r>
  <r>
    <d v="2018-09-06T00:00:00"/>
    <x v="2"/>
    <s v="ООО Четвертый"/>
    <x v="0"/>
    <n v="230"/>
    <n v="45"/>
    <n v="10350"/>
    <d v="2017-09-11T00:00:00"/>
    <n v="30"/>
    <n v="1350"/>
    <x v="81"/>
    <n v="200"/>
  </r>
  <r>
    <d v="2018-09-07T00:00:00"/>
    <x v="4"/>
    <s v="ООО Четвертый"/>
    <x v="1"/>
    <n v="60"/>
    <n v="32"/>
    <n v="1920"/>
    <m/>
    <m/>
    <s v="0"/>
    <x v="24"/>
    <n v="60"/>
  </r>
  <r>
    <d v="2018-09-07T00:00:00"/>
    <x v="4"/>
    <s v="ООО Четвертый"/>
    <x v="2"/>
    <n v="25"/>
    <n v="136"/>
    <n v="3400"/>
    <m/>
    <m/>
    <s v="0"/>
    <x v="82"/>
    <n v="25"/>
  </r>
  <r>
    <d v="2018-09-10T00:00:00"/>
    <x v="2"/>
    <s v="ООО Второй"/>
    <x v="0"/>
    <n v="170"/>
    <n v="45"/>
    <n v="7650"/>
    <m/>
    <m/>
    <s v="0"/>
    <x v="83"/>
    <n v="170"/>
  </r>
  <r>
    <d v="2018-09-10T00:00:00"/>
    <x v="2"/>
    <s v="ООО Второй"/>
    <x v="3"/>
    <n v="170"/>
    <n v="25"/>
    <n v="4250"/>
    <m/>
    <m/>
    <s v="0"/>
    <x v="84"/>
    <n v="170"/>
  </r>
  <r>
    <d v="2018-09-11T00:00:00"/>
    <x v="2"/>
    <s v="ООО Первый"/>
    <x v="5"/>
    <n v="56"/>
    <n v="54"/>
    <n v="3024"/>
    <m/>
    <m/>
    <s v="0"/>
    <x v="85"/>
    <n v="56"/>
  </r>
  <r>
    <d v="2018-09-11T00:00:00"/>
    <x v="0"/>
    <s v="ООО Первый"/>
    <x v="5"/>
    <n v="56"/>
    <n v="54"/>
    <n v="3024"/>
    <d v="2017-09-15T00:00:00"/>
    <n v="21"/>
    <n v="1134"/>
    <x v="86"/>
    <n v="35"/>
  </r>
  <r>
    <d v="2018-09-12T00:00:00"/>
    <x v="1"/>
    <s v="ООО Первый"/>
    <x v="4"/>
    <n v="90"/>
    <n v="65"/>
    <n v="5850"/>
    <m/>
    <m/>
    <s v="0"/>
    <x v="87"/>
    <n v="90"/>
  </r>
  <r>
    <d v="2018-09-12T00:00:00"/>
    <x v="1"/>
    <s v="ООО Первый"/>
    <x v="5"/>
    <n v="90"/>
    <n v="54"/>
    <n v="4860"/>
    <m/>
    <m/>
    <s v="0"/>
    <x v="13"/>
    <n v="90"/>
  </r>
  <r>
    <d v="2018-09-13T00:00:00"/>
    <x v="3"/>
    <s v="ООО Четвертый"/>
    <x v="6"/>
    <n v="70"/>
    <n v="87"/>
    <n v="6090"/>
    <m/>
    <m/>
    <s v="0"/>
    <x v="62"/>
    <n v="70"/>
  </r>
  <r>
    <d v="2018-09-13T00:00:00"/>
    <x v="0"/>
    <s v="ООО Четвертый"/>
    <x v="6"/>
    <n v="70"/>
    <n v="87"/>
    <n v="6090"/>
    <m/>
    <m/>
    <s v="0"/>
    <x v="62"/>
    <n v="70"/>
  </r>
  <r>
    <d v="2018-09-14T00:00:00"/>
    <x v="2"/>
    <s v="ООО Второй"/>
    <x v="7"/>
    <n v="50"/>
    <n v="110"/>
    <n v="5500"/>
    <m/>
    <m/>
    <s v="0"/>
    <x v="88"/>
    <n v="50"/>
  </r>
  <r>
    <d v="2018-09-14T00:00:00"/>
    <x v="3"/>
    <s v="ООО Второй"/>
    <x v="7"/>
    <n v="50"/>
    <n v="110"/>
    <n v="5500"/>
    <m/>
    <m/>
    <s v="0"/>
    <x v="88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BC329-5D62-4160-A541-3DAF017EA269}" name="Сводная таблица3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B2:K9" firstHeaderRow="1" firstDataRow="2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 numFmtId="165"/>
  </dataFields>
  <formats count="13">
    <format dxfId="34">
      <pivotArea type="all" dataOnly="0" outline="0" fieldPosition="0"/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field="3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" type="button" dataOnly="0" labelOnly="1" outline="0" axis="axisRow" fieldPosition="0"/>
    </format>
    <format dxfId="25">
      <pivotArea dataOnly="0" labelOnly="1" fieldPosition="0">
        <references count="1">
          <reference field="1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3" count="0"/>
        </references>
      </pivotArea>
    </format>
    <format dxfId="2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83A66-16CC-41E7-BF34-F3E46AE27384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F13:G19" firstHeaderRow="1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/>
    <pivotField showAll="0"/>
    <pivotField showAll="0"/>
    <pivotField showAll="0"/>
    <pivotField dataField="1" numFmtId="44"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 numFmtId="165"/>
  </dataFields>
  <formats count="7">
    <format dxfId="41">
      <pivotArea outline="0" collapsedLevelsAreSubtotals="1" fieldPosition="0"/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field="1" type="button" dataOnly="0" labelOnly="1" outline="0" axis="axisRow" fieldPosition="0"/>
    </format>
    <format dxfId="37">
      <pivotArea dataOnly="0" labelOnly="1" fieldPosition="0">
        <references count="1">
          <reference field="1" count="0"/>
        </references>
      </pivotArea>
    </format>
    <format dxfId="36">
      <pivotArea dataOnly="0" labelOnly="1" grandRow="1" outline="0" fieldPosition="0"/>
    </format>
    <format dxfId="3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FB26F-E99D-4BAD-AC8D-01C27835E577}" name="Сводная таблица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B12:C57" firstHeaderRow="1" firstDataRow="1" firstDataCol="1"/>
  <pivotFields count="12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44" showAll="0">
      <items count="90">
        <item x="49"/>
        <item x="42"/>
        <item x="44"/>
        <item x="3"/>
        <item x="59"/>
        <item x="67"/>
        <item x="86"/>
        <item x="24"/>
        <item x="4"/>
        <item x="12"/>
        <item x="54"/>
        <item x="30"/>
        <item x="52"/>
        <item x="23"/>
        <item x="58"/>
        <item x="21"/>
        <item x="41"/>
        <item x="61"/>
        <item x="51"/>
        <item x="18"/>
        <item x="15"/>
        <item x="66"/>
        <item x="85"/>
        <item x="7"/>
        <item x="78"/>
        <item x="82"/>
        <item x="1"/>
        <item x="57"/>
        <item x="29"/>
        <item x="53"/>
        <item x="84"/>
        <item x="60"/>
        <item x="38"/>
        <item x="0"/>
        <item x="50"/>
        <item x="71"/>
        <item x="32"/>
        <item x="13"/>
        <item x="70"/>
        <item x="37"/>
        <item x="74"/>
        <item x="55"/>
        <item x="22"/>
        <item x="5"/>
        <item x="88"/>
        <item x="43"/>
        <item x="80"/>
        <item x="87"/>
        <item x="79"/>
        <item x="72"/>
        <item x="62"/>
        <item x="45"/>
        <item x="35"/>
        <item x="31"/>
        <item x="65"/>
        <item x="8"/>
        <item x="40"/>
        <item x="19"/>
        <item x="83"/>
        <item x="47"/>
        <item x="11"/>
        <item x="20"/>
        <item x="56"/>
        <item x="81"/>
        <item x="33"/>
        <item x="36"/>
        <item x="26"/>
        <item x="73"/>
        <item x="34"/>
        <item x="76"/>
        <item x="68"/>
        <item x="77"/>
        <item x="75"/>
        <item x="16"/>
        <item x="48"/>
        <item x="46"/>
        <item x="63"/>
        <item x="25"/>
        <item x="69"/>
        <item x="6"/>
        <item x="2"/>
        <item x="17"/>
        <item x="64"/>
        <item x="28"/>
        <item x="39"/>
        <item x="27"/>
        <item x="9"/>
        <item x="14"/>
        <item x="10"/>
        <item t="default"/>
      </items>
    </pivotField>
    <pivotField showAll="0"/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 numFmtId="165"/>
  </dataFields>
  <formats count="14">
    <format dxfId="55">
      <pivotArea type="all" dataOnly="0" outline="0" fieldPosition="0"/>
    </format>
    <format dxfId="54">
      <pivotArea outline="0" collapsedLevelsAreSubtotals="1" fieldPosition="0"/>
    </format>
    <format dxfId="53">
      <pivotArea outline="0" collapsedLevelsAreSubtotals="1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1" type="button" dataOnly="0" labelOnly="1" outline="0" axis="axisRow" fieldPosition="0"/>
    </format>
    <format dxfId="49">
      <pivotArea dataOnly="0" labelOnly="1" fieldPosition="0">
        <references count="1">
          <reference field="1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2">
          <reference field="1" count="1" selected="0">
            <x v="0"/>
          </reference>
          <reference field="3" count="0"/>
        </references>
      </pivotArea>
    </format>
    <format dxfId="46">
      <pivotArea dataOnly="0" labelOnly="1" fieldPosition="0">
        <references count="2">
          <reference field="1" count="1" selected="0">
            <x v="1"/>
          </reference>
          <reference field="3" count="7">
            <x v="0"/>
            <x v="1"/>
            <x v="2"/>
            <x v="3"/>
            <x v="4"/>
            <x v="5"/>
            <x v="6"/>
          </reference>
        </references>
      </pivotArea>
    </format>
    <format dxfId="45">
      <pivotArea dataOnly="0" labelOnly="1" fieldPosition="0">
        <references count="2">
          <reference field="1" count="1" selected="0">
            <x v="2"/>
          </reference>
          <reference field="3" count="0"/>
        </references>
      </pivotArea>
    </format>
    <format dxfId="44">
      <pivotArea dataOnly="0" labelOnly="1" fieldPosition="0">
        <references count="2">
          <reference field="1" count="1" selected="0">
            <x v="3"/>
          </reference>
          <reference field="3" count="0"/>
        </references>
      </pivotArea>
    </format>
    <format dxfId="43">
      <pivotArea dataOnly="0" labelOnly="1" fieldPosition="0">
        <references count="2">
          <reference field="1" count="1" selected="0">
            <x v="4"/>
          </reference>
          <reference field="3" count="0"/>
        </references>
      </pivotArea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M131" totalsRowShown="0" headerRowDxfId="93" dataDxfId="91" headerRowBorderDxfId="92" tableBorderDxfId="90">
  <autoFilter ref="A1:M131" xr:uid="{00000000-0009-0000-0100-000001000000}"/>
  <tableColumns count="13">
    <tableColumn id="1" xr3:uid="{A8113154-9406-AF47-8935-9A510E7D72E1}" name="Дата" dataDxfId="89"/>
    <tableColumn id="2" xr3:uid="{1334C2B4-20B2-A442-A4F3-671B65ECB11B}" name="ФИО менеджера" dataDxfId="88"/>
    <tableColumn id="3" xr3:uid="{CA6F0B49-B211-6E46-A299-C6DACE5210CE}" name="Наименование клиента" dataDxfId="87"/>
    <tableColumn id="4" xr3:uid="{B128F39C-208F-8846-AB45-F8C694832C2F}" name="Наименование Товара" dataDxfId="86"/>
    <tableColumn id="5" xr3:uid="{7CB16B93-A4C3-2F48-832A-8F28980BA11D}" name="Количество" dataDxfId="85"/>
    <tableColumn id="7" xr3:uid="{99D661F8-5861-B74E-89C2-D864F4865FCB}" name="Цена" dataDxfId="84">
      <calculatedColumnFormula>VLOOKUP(Таблица1[[#This Row],[Наименование Товара]],'Информация о товаарах'!$A$2:$C$9,3,FALSE)</calculatedColumnFormula>
    </tableColumn>
    <tableColumn id="6" xr3:uid="{D4F76BCB-83CB-B54B-AA28-1AB0558F8AC3}" name="Стоимость" dataDxfId="83" dataCellStyle="Денежный">
      <calculatedColumnFormula>Таблица1[[#This Row],[Количество]]*Таблица1[[#This Row],[Цена]]</calculatedColumnFormula>
    </tableColumn>
    <tableColumn id="8" xr3:uid="{D5BA46C4-2F6A-8644-B808-DE6E035CBFEA}" name="Дата возрата по рекламации" dataDxfId="82"/>
    <tableColumn id="9" xr3:uid="{328C5F7A-1219-D645-A955-70AAC1579211}" name="Количество к возврату" dataDxfId="81"/>
    <tableColumn id="10" xr3:uid="{6F63CF1B-9A06-5C42-BC36-634DBDFBB63D}" name="Стоимость возврата" dataDxfId="80">
      <calculatedColumnFormula>IF(Таблица1[[#This Row],[Количество к возврату]] = "","0",Таблица1[[#This Row],[Цена]]*Таблица1[[#This Row],[Количество к возврату]])</calculatedColumnFormula>
    </tableColumn>
    <tableColumn id="11" xr3:uid="{B3A776B3-C773-459E-A11E-A7335F229DB7}" name="Чистая стоимость" dataDxfId="79">
      <calculatedColumnFormula>Таблица1[[#This Row],[Стоимость]]-Таблица1[[#This Row],[Стоимость возврата]]</calculatedColumnFormula>
    </tableColumn>
    <tableColumn id="12" xr3:uid="{9B4CA19D-54DC-4141-AE86-136AFFFAC171}" name="Чистое кол-во" dataDxfId="78">
      <calculatedColumnFormula>Таблица1[[#This Row],[Количество]]-Таблица1[[#This Row],[Количество к возврату]]</calculatedColumnFormula>
    </tableColumn>
    <tableColumn id="13" xr3:uid="{0C513C72-4E29-42F8-B44E-A33BB35C36E8}" name="День недели" dataDxfId="77">
      <calculatedColumnFormula>WEEKDAY(Таблица1[[#This Row],[Дата]],2)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88647-0E58-42FC-83F0-C16025E01886}" name="Таблица2" displayName="Таблица2" ref="F11:G17" totalsRowShown="0" headerRowDxfId="76" headerRowBorderDxfId="75" tableBorderDxfId="74">
  <autoFilter ref="F11:G17" xr:uid="{D4E88647-0E58-42FC-83F0-C16025E01886}"/>
  <tableColumns count="2">
    <tableColumn id="1" xr3:uid="{53591968-E7BF-466C-B3F6-CB0038CDF569}" name="Названия строк"/>
    <tableColumn id="2" xr3:uid="{28D4B373-2A45-47CE-B94E-F23E0C525B20}" name="Сумма по полю Чистая стоимость" dataDxfId="73">
      <calculatedColumnFormula>SUMIF(ФИО_менеджера,F12,Таблица1[Чистая стоимость])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584DD0-C554-4D0E-9305-341AD3721498}" name="Таблица5" displayName="Таблица5" ref="B2:K7" totalsRowShown="0" headerRowDxfId="72" headerRowBorderDxfId="71" tableBorderDxfId="70">
  <autoFilter ref="B2:K7" xr:uid="{56584DD0-C554-4D0E-9305-341AD3721498}"/>
  <tableColumns count="10">
    <tableColumn id="1" xr3:uid="{F5BB8963-7BE1-49FD-BA75-B3839B6E6FD8}" name="ФИО менеджера"/>
    <tableColumn id="2" xr3:uid="{94FB04CF-CD6E-47CD-A7BC-0D151BC4EC80}" name="Балтийский" dataDxfId="69">
      <calculatedColumnFormula>SUMIFS(Таблица1[Чистая стоимость],ФИО_менеджера,$B3,Наименование_Товара,C$2)</calculatedColumnFormula>
    </tableColumn>
    <tableColumn id="3" xr3:uid="{94703315-78A0-40AA-830F-A4E07AECC819}" name="Голландские" dataDxfId="68">
      <calculatedColumnFormula>SUMIFS(Таблица1[Чистая стоимость],ФИО_менеджера,$B3,Наименование_Товара,D$2)</calculatedColumnFormula>
    </tableColumn>
    <tableColumn id="4" xr3:uid="{01685758-CD77-46D3-927F-BDCE175A2452}" name="Нежные" dataDxfId="67">
      <calculatedColumnFormula>SUMIFS(Таблица1[Чистая стоимость],ФИО_менеджера,$B3,Наименование_Товара,E$2)</calculatedColumnFormula>
    </tableColumn>
    <tableColumn id="5" xr3:uid="{BE822E72-EAEA-45A3-8E50-B475687EF290}" name="Печенье Вкусное" dataDxfId="66">
      <calculatedColumnFormula>SUMIFS(Таблица1[Чистая стоимость],ФИО_менеджера,$B3,Наименование_Товара,F$2)</calculatedColumnFormula>
    </tableColumn>
    <tableColumn id="6" xr3:uid="{20F9B02C-B24B-470F-B5CD-986C67EEB2A8}" name="Печенье Доброе" dataDxfId="65">
      <calculatedColumnFormula>SUMIFS(Таблица1[Чистая стоимость],ФИО_менеджера,$B3,Наименование_Товара,G$2)</calculatedColumnFormula>
    </tableColumn>
    <tableColumn id="7" xr3:uid="{B12E779A-60C3-482D-BC0C-B5A71270FAAC}" name="Печенье Солнышко" dataDxfId="64">
      <calculatedColumnFormula>SUMIFS(Таблица1[Чистая стоимость],ФИО_менеджера,$B3,Наименование_Товара,H$2)</calculatedColumnFormula>
    </tableColumn>
    <tableColumn id="8" xr3:uid="{7DC3BCF3-2E1B-40D8-BEA1-6D17536AF2AB}" name="Полярный" dataDxfId="63">
      <calculatedColumnFormula>SUMIFS(Таблица1[Чистая стоимость],ФИО_менеджера,$B3,Наименование_Товара,I$2)</calculatedColumnFormula>
    </tableColumn>
    <tableColumn id="9" xr3:uid="{7CEF2BB1-39F2-451D-AB19-19BB26DC7DBA}" name="Снежок" dataDxfId="62">
      <calculatedColumnFormula>SUMIFS(Таблица1[Чистая стоимость],ФИО_менеджера,$B3,Наименование_Товара,J$2)</calculatedColumnFormula>
    </tableColumn>
    <tableColumn id="10" xr3:uid="{E16C7B2B-5507-4F1F-B0B3-4D08C3C885B0}" name="ИТОГ" dataDxfId="61">
      <calculatedColumnFormula>SUM(Таблица5[[#This Row],[Балтийский]:[Снежок]])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497B56-D51D-47D3-9314-A30333B8DF18}" name="Таблица6" displayName="Таблица6" ref="B11:C56" totalsRowShown="0" headerRowDxfId="60" headerRowBorderDxfId="59" tableBorderDxfId="58">
  <autoFilter ref="B11:C56" xr:uid="{9E497B56-D51D-47D3-9314-A30333B8DF18}"/>
  <tableColumns count="2">
    <tableColumn id="1" xr3:uid="{5B836518-BDBD-4FCF-BF35-EEB5EC366789}" name="ФИО менеджера" dataDxfId="57"/>
    <tableColumn id="2" xr3:uid="{C798C2F3-AEC2-465D-B4D8-F14763337CBA}" name="Чистая стоимость" dataDxfId="56">
      <calculatedColumnFormula>SUMIFS(Таблица1[Чистая стоимость],ФИО_менеджера,$B$48,Наименование_Товара,B12)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9" totalsRowShown="0" headerRowDxfId="21" headerRowBorderDxfId="20" tableBorderDxfId="19">
  <autoFilter ref="A1:C9" xr:uid="{454C3029-940F-4B72-A163-E14653329684}"/>
  <tableColumns count="3">
    <tableColumn id="1" xr3:uid="{C21BE010-591F-4F91-976D-C3ACDAC571D2}" name="Наименование Товара" dataDxfId="18"/>
    <tableColumn id="2" xr3:uid="{6D28B93F-29BB-4C84-BAC1-094B469F8D36}" name="Товарная группа"/>
    <tableColumn id="3" xr3:uid="{C07542A1-29C5-4DCC-8FBD-CD4C8416012D}" name="Цена товара (фикс)" dataDxfId="17" dataCellStyle="Денежный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F1:M9" totalsRowShown="0" headerRowDxfId="16" dataDxfId="14" headerRowBorderDxfId="15" tableBorderDxfId="13" dataCellStyle="Денежный">
  <autoFilter ref="F1:M9" xr:uid="{6CD477E7-D69C-4286-BD95-23EB993B86AF}"/>
  <tableColumns count="8">
    <tableColumn id="1" xr3:uid="{D620B6AA-BC38-42E8-8574-40BE31879CA6}" name="Наименование Товара" dataDxfId="12"/>
    <tableColumn id="2" xr3:uid="{D4DE033C-B84C-443A-A956-9D0C318FE2E5}" name="01.01.2017" dataDxfId="11" dataCellStyle="Денежный"/>
    <tableColumn id="3" xr3:uid="{A9D0B3E3-B7C7-4FB4-BC1A-33516CD49D1A}" name="01.03.2017" dataDxfId="10" dataCellStyle="Денежный"/>
    <tableColumn id="4" xr3:uid="{A023DE96-F723-4D35-BE1F-3FFEC926F7BD}" name="01.05.2017" dataDxfId="9" dataCellStyle="Денежный"/>
    <tableColumn id="5" xr3:uid="{066AC885-6762-4C56-B4AC-F2D0BFC45461}" name="01.07.2017" dataDxfId="8" dataCellStyle="Денежный"/>
    <tableColumn id="6" xr3:uid="{B5A31CE2-7123-46F3-B909-69F6B480159B}" name="01.11.2017" dataDxfId="7" dataCellStyle="Денежный"/>
    <tableColumn id="7" xr3:uid="{04D930A7-BDE4-4452-A8B2-372913D81B00}" name="Среднее" dataDxfId="6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5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789C-FE63-4534-95C7-2ADFB0AB43E0}">
  <dimension ref="A1:AS19"/>
  <sheetViews>
    <sheetView tabSelected="1" workbookViewId="0">
      <selection activeCell="N18" sqref="N18"/>
    </sheetView>
  </sheetViews>
  <sheetFormatPr defaultColWidth="8.85546875" defaultRowHeight="15" x14ac:dyDescent="0.25"/>
  <cols>
    <col min="1" max="1" width="33.140625" customWidth="1"/>
    <col min="2" max="2" width="9.28515625" bestFit="1" customWidth="1"/>
    <col min="12" max="12" width="8.140625" bestFit="1" customWidth="1"/>
    <col min="13" max="16" width="8.85546875" customWidth="1"/>
    <col min="17" max="17" width="22" bestFit="1" customWidth="1"/>
  </cols>
  <sheetData>
    <row r="1" spans="1:16" ht="16.5" thickBot="1" x14ac:dyDescent="0.3">
      <c r="A1" s="178" t="s">
        <v>97</v>
      </c>
      <c r="B1" s="179"/>
      <c r="C1" s="179"/>
      <c r="D1" s="179"/>
      <c r="E1" s="179"/>
      <c r="F1" s="179"/>
      <c r="G1" s="179"/>
      <c r="H1" s="179"/>
      <c r="I1" s="179"/>
      <c r="J1" s="180"/>
      <c r="M1" s="164" t="s">
        <v>106</v>
      </c>
      <c r="N1" s="40">
        <v>3</v>
      </c>
      <c r="O1" s="40" t="s">
        <v>107</v>
      </c>
      <c r="P1" s="165">
        <v>7</v>
      </c>
    </row>
    <row r="2" spans="1:16" ht="15.75" thickBot="1" x14ac:dyDescent="0.3">
      <c r="A2" s="167" t="s">
        <v>98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164"/>
      <c r="J2" s="165"/>
      <c r="M2" s="43" t="s">
        <v>108</v>
      </c>
      <c r="N2" s="166">
        <v>2017</v>
      </c>
      <c r="O2" s="166"/>
      <c r="P2" s="44"/>
    </row>
    <row r="3" spans="1:16" x14ac:dyDescent="0.25">
      <c r="A3" s="41" t="s">
        <v>16</v>
      </c>
      <c r="B3" s="51">
        <f t="array" ref="B3">SUM((ФИО_менеджера=$A3)*(WEEKDAY(Дата,2)=B$2)*(MONTH(Дата)&gt;=$N$1)*(MONTH(Дата)&lt;=$P$1)*(YEAR(Дата)=$N$2))</f>
        <v>2</v>
      </c>
      <c r="C3" s="51">
        <f t="array" ref="C3">SUM((ФИО_менеджера=$A3)*(WEEKDAY(Дата,2)=C$2)*(MONTH(Дата)&gt;=$N$1)*(MONTH(Дата)&lt;=$P$1)*(YEAR(Дата)=$N$2))</f>
        <v>3</v>
      </c>
      <c r="D3" s="51">
        <f t="array" ref="D3">SUM((ФИО_менеджера=$A3)*(WEEKDAY(Дата,2)=D$2)*(MONTH(Дата)&gt;=$N$1)*(MONTH(Дата)&lt;=$P$1)*(YEAR(Дата)=$N$2))</f>
        <v>0</v>
      </c>
      <c r="E3" s="51">
        <f t="array" ref="E3">SUM((ФИО_менеджера=$A3)*(WEEKDAY(Дата,2)=E$2)*(MONTH(Дата)&gt;=$N$1)*(MONTH(Дата)&lt;=$P$1)*(YEAR(Дата)=$N$2))</f>
        <v>1</v>
      </c>
      <c r="F3" s="51">
        <f t="array" ref="F3">SUM((ФИО_менеджера=$A3)*(WEEKDAY(Дата,2)=F$2)*(MONTH(Дата)&gt;=$N$1)*(MONTH(Дата)&lt;=$P$1)*(YEAR(Дата)=$N$2))</f>
        <v>0</v>
      </c>
      <c r="G3" s="51">
        <f t="array" ref="G3">SUM((ФИО_менеджера=$A3)*(WEEKDAY(Дата,2)=G$2)*(MONTH(Дата)&gt;=$N$1)*(MONTH(Дата)&lt;=$P$1)*(YEAR(Дата)=$N$2))</f>
        <v>1</v>
      </c>
      <c r="H3" s="51">
        <f t="array" ref="H3">SUM((ФИО_менеджера=$A3)*(WEEKDAY(Дата,2)=H$2)*(MONTH(Дата)&gt;=$N$1)*(MONTH(Дата)&lt;=$P$1)*(YEAR(Дата)=$N$2))</f>
        <v>0</v>
      </c>
      <c r="I3" s="41"/>
      <c r="J3" s="42"/>
    </row>
    <row r="4" spans="1:16" x14ac:dyDescent="0.25">
      <c r="A4" s="41" t="s">
        <v>17</v>
      </c>
      <c r="B4" s="51">
        <f t="array" ref="B4">SUM((ФИО_менеджера=$A4)*(WEEKDAY(Дата,2)=B$2)*(MONTH(Дата)&gt;=$N$1)*(MONTH(Дата)&lt;=$P$1)*(YEAR(Дата)=$N$2))</f>
        <v>3</v>
      </c>
      <c r="C4" s="51">
        <f t="array" ref="C4">SUM((ФИО_менеджера=$A4)*(WEEKDAY(Дата,2)=C$2)*(MONTH(Дата)&gt;=$N$1)*(MONTH(Дата)&lt;=$P$1)*(YEAR(Дата)=$N$2))</f>
        <v>3</v>
      </c>
      <c r="D4" s="51">
        <f t="array" ref="D4">SUM((ФИО_менеджера=$A4)*(WEEKDAY(Дата,2)=D$2)*(MONTH(Дата)&gt;=$N$1)*(MONTH(Дата)&lt;=$P$1)*(YEAR(Дата)=$N$2))</f>
        <v>3</v>
      </c>
      <c r="E4" s="51">
        <f t="array" ref="E4">SUM((ФИО_менеджера=$A4)*(WEEKDAY(Дата,2)=E$2)*(MONTH(Дата)&gt;=$N$1)*(MONTH(Дата)&lt;=$P$1)*(YEAR(Дата)=$N$2))</f>
        <v>4</v>
      </c>
      <c r="F4" s="51">
        <f t="array" ref="F4">SUM((ФИО_менеджера=$A4)*(WEEKDAY(Дата,2)=F$2)*(MONTH(Дата)&gt;=$N$1)*(MONTH(Дата)&lt;=$P$1)*(YEAR(Дата)=$N$2))</f>
        <v>3</v>
      </c>
      <c r="G4" s="51">
        <f t="array" ref="G4">SUM((ФИО_менеджера=$A4)*(WEEKDAY(Дата,2)=G$2)*(MONTH(Дата)&gt;=$N$1)*(MONTH(Дата)&lt;=$P$1)*(YEAR(Дата)=$N$2))</f>
        <v>1</v>
      </c>
      <c r="H4" s="51">
        <f t="array" ref="H4">SUM((ФИО_менеджера=$A4)*(WEEKDAY(Дата,2)=H$2)*(MONTH(Дата)&gt;=$N$1)*(MONTH(Дата)&lt;=$P$1)*(YEAR(Дата)=$N$2))</f>
        <v>0</v>
      </c>
      <c r="I4" s="41"/>
      <c r="J4" s="42"/>
    </row>
    <row r="5" spans="1:16" x14ac:dyDescent="0.25">
      <c r="A5" s="41" t="s">
        <v>18</v>
      </c>
      <c r="B5" s="51">
        <f t="array" ref="B5">SUM((ФИО_менеджера=$A5)*(WEEKDAY(Дата,2)=B$2)*(MONTH(Дата)&gt;=$N$1)*(MONTH(Дата)&lt;=$P$1)*(YEAR(Дата)=$N$2))</f>
        <v>2</v>
      </c>
      <c r="C5" s="51">
        <f t="array" ref="C5">SUM((ФИО_менеджера=$A5)*(WEEKDAY(Дата,2)=C$2)*(MONTH(Дата)&gt;=$N$1)*(MONTH(Дата)&lt;=$P$1)*(YEAR(Дата)=$N$2))</f>
        <v>3</v>
      </c>
      <c r="D5" s="51">
        <f t="array" ref="D5">SUM((ФИО_менеджера=$A5)*(WEEKDAY(Дата,2)=D$2)*(MONTH(Дата)&gt;=$N$1)*(MONTH(Дата)&lt;=$P$1)*(YEAR(Дата)=$N$2))</f>
        <v>1</v>
      </c>
      <c r="E5" s="51">
        <f t="array" ref="E5">SUM((ФИО_менеджера=$A5)*(WEEKDAY(Дата,2)=E$2)*(MONTH(Дата)&gt;=$N$1)*(MONTH(Дата)&lt;=$P$1)*(YEAR(Дата)=$N$2))</f>
        <v>2</v>
      </c>
      <c r="F5" s="51">
        <f t="array" ref="F5">SUM((ФИО_менеджера=$A5)*(WEEKDAY(Дата,2)=F$2)*(MONTH(Дата)&gt;=$N$1)*(MONTH(Дата)&lt;=$P$1)*(YEAR(Дата)=$N$2))</f>
        <v>4</v>
      </c>
      <c r="G5" s="51">
        <f t="array" ref="G5">SUM((ФИО_менеджера=$A5)*(WEEKDAY(Дата,2)=G$2)*(MONTH(Дата)&gt;=$N$1)*(MONTH(Дата)&lt;=$P$1)*(YEAR(Дата)=$N$2))</f>
        <v>3</v>
      </c>
      <c r="H5" s="51">
        <f t="array" ref="H5">SUM((ФИО_менеджера=$A5)*(WEEKDAY(Дата,2)=H$2)*(MONTH(Дата)&gt;=$N$1)*(MONTH(Дата)&lt;=$P$1)*(YEAR(Дата)=$N$2))</f>
        <v>1</v>
      </c>
      <c r="I5" s="41"/>
      <c r="J5" s="42"/>
    </row>
    <row r="6" spans="1:16" x14ac:dyDescent="0.25">
      <c r="A6" s="41" t="s">
        <v>19</v>
      </c>
      <c r="B6" s="51">
        <f t="array" ref="B6">SUM((ФИО_менеджера=$A6)*(WEEKDAY(Дата,2)=B$2)*(MONTH(Дата)&gt;=$N$1)*(MONTH(Дата)&lt;=$P$1)*(YEAR(Дата)=$N$2))</f>
        <v>3</v>
      </c>
      <c r="C6" s="51">
        <f t="array" ref="C6">SUM((ФИО_менеджера=$A6)*(WEEKDAY(Дата,2)=C$2)*(MONTH(Дата)&gt;=$N$1)*(MONTH(Дата)&lt;=$P$1)*(YEAR(Дата)=$N$2))</f>
        <v>0</v>
      </c>
      <c r="D6" s="51">
        <f t="array" ref="D6">SUM((ФИО_менеджера=$A6)*(WEEKDAY(Дата,2)=D$2)*(MONTH(Дата)&gt;=$N$1)*(MONTH(Дата)&lt;=$P$1)*(YEAR(Дата)=$N$2))</f>
        <v>1</v>
      </c>
      <c r="E6" s="51">
        <f t="array" ref="E6">SUM((ФИО_менеджера=$A6)*(WEEKDAY(Дата,2)=E$2)*(MONTH(Дата)&gt;=$N$1)*(MONTH(Дата)&lt;=$P$1)*(YEAR(Дата)=$N$2))</f>
        <v>3</v>
      </c>
      <c r="F6" s="51">
        <f t="array" ref="F6">SUM((ФИО_менеджера=$A6)*(WEEKDAY(Дата,2)=F$2)*(MONTH(Дата)&gt;=$N$1)*(MONTH(Дата)&lt;=$P$1)*(YEAR(Дата)=$N$2))</f>
        <v>4</v>
      </c>
      <c r="G6" s="51">
        <f t="array" ref="G6">SUM((ФИО_менеджера=$A6)*(WEEKDAY(Дата,2)=G$2)*(MONTH(Дата)&gt;=$N$1)*(MONTH(Дата)&lt;=$P$1)*(YEAR(Дата)=$N$2))</f>
        <v>2</v>
      </c>
      <c r="H6" s="51">
        <f t="array" ref="H6">SUM((ФИО_менеджера=$A6)*(WEEKDAY(Дата,2)=H$2)*(MONTH(Дата)&gt;=$N$1)*(MONTH(Дата)&lt;=$P$1)*(YEAR(Дата)=$N$2))</f>
        <v>1</v>
      </c>
      <c r="I6" s="41"/>
      <c r="J6" s="42"/>
    </row>
    <row r="7" spans="1:16" x14ac:dyDescent="0.25">
      <c r="A7" s="41" t="s">
        <v>20</v>
      </c>
      <c r="B7" s="51">
        <f t="array" ref="B7">SUM((ФИО_менеджера=$A7)*(WEEKDAY(Дата,2)=B$2)*(MONTH(Дата)&gt;=$N$1)*(MONTH(Дата)&lt;=$P$1)*(YEAR(Дата)=$N$2))</f>
        <v>4</v>
      </c>
      <c r="C7" s="51">
        <f t="array" ref="C7">SUM((ФИО_менеджера=$A7)*(WEEKDAY(Дата,2)=C$2)*(MONTH(Дата)&gt;=$N$1)*(MONTH(Дата)&lt;=$P$1)*(YEAR(Дата)=$N$2))</f>
        <v>1</v>
      </c>
      <c r="D7" s="51">
        <f t="array" ref="D7">SUM((ФИО_менеджера=$A7)*(WEEKDAY(Дата,2)=D$2)*(MONTH(Дата)&gt;=$N$1)*(MONTH(Дата)&lt;=$P$1)*(YEAR(Дата)=$N$2))</f>
        <v>1</v>
      </c>
      <c r="E7" s="51">
        <f t="array" ref="E7">SUM((ФИО_менеджера=$A7)*(WEEKDAY(Дата,2)=E$2)*(MONTH(Дата)&gt;=$N$1)*(MONTH(Дата)&lt;=$P$1)*(YEAR(Дата)=$N$2))</f>
        <v>3</v>
      </c>
      <c r="F7" s="51">
        <f t="array" ref="F7">SUM((ФИО_менеджера=$A7)*(WEEKDAY(Дата,2)=F$2)*(MONTH(Дата)&gt;=$N$1)*(MONTH(Дата)&lt;=$P$1)*(YEAR(Дата)=$N$2))</f>
        <v>2</v>
      </c>
      <c r="G7" s="51">
        <f t="array" ref="G7">SUM((ФИО_менеджера=$A7)*(WEEKDAY(Дата,2)=G$2)*(MONTH(Дата)&gt;=$N$1)*(MONTH(Дата)&lt;=$P$1)*(YEAR(Дата)=$N$2))</f>
        <v>0</v>
      </c>
      <c r="H7" s="51">
        <f t="array" ref="H7">SUM((ФИО_менеджера=$A7)*(WEEKDAY(Дата,2)=H$2)*(MONTH(Дата)&gt;=$N$1)*(MONTH(Дата)&lt;=$P$1)*(YEAR(Дата)=$N$2))</f>
        <v>0</v>
      </c>
      <c r="I7" s="41"/>
      <c r="J7" s="42"/>
    </row>
    <row r="8" spans="1:16" ht="15.75" thickBot="1" x14ac:dyDescent="0.3">
      <c r="A8" s="168" t="s">
        <v>100</v>
      </c>
      <c r="B8" s="169">
        <f>SUM(B3:B7)</f>
        <v>14</v>
      </c>
      <c r="C8" s="169">
        <f t="shared" ref="C8:H8" si="0">SUM(C3:C7)</f>
        <v>10</v>
      </c>
      <c r="D8" s="169">
        <f t="shared" si="0"/>
        <v>6</v>
      </c>
      <c r="E8" s="169">
        <f t="shared" si="0"/>
        <v>13</v>
      </c>
      <c r="F8" s="169">
        <f t="shared" si="0"/>
        <v>13</v>
      </c>
      <c r="G8" s="169">
        <f t="shared" si="0"/>
        <v>7</v>
      </c>
      <c r="H8" s="169">
        <f t="shared" si="0"/>
        <v>2</v>
      </c>
      <c r="I8" s="43"/>
      <c r="J8" s="44"/>
    </row>
    <row r="11" spans="1:16" ht="15.75" thickBot="1" x14ac:dyDescent="0.3"/>
    <row r="12" spans="1:16" ht="16.5" thickBot="1" x14ac:dyDescent="0.3">
      <c r="A12" s="175" t="s">
        <v>101</v>
      </c>
      <c r="B12" s="176"/>
      <c r="C12" s="176"/>
      <c r="D12" s="176"/>
      <c r="E12" s="176"/>
      <c r="F12" s="176"/>
      <c r="G12" s="176"/>
      <c r="H12" s="176"/>
      <c r="I12" s="176"/>
      <c r="J12" s="177"/>
    </row>
    <row r="13" spans="1:16" x14ac:dyDescent="0.25">
      <c r="A13" s="167" t="s">
        <v>98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164"/>
      <c r="J13" s="165"/>
    </row>
    <row r="14" spans="1:16" x14ac:dyDescent="0.25">
      <c r="A14" s="41" t="s">
        <v>16</v>
      </c>
      <c r="B14" s="170">
        <f>B3/(SUM($B3:$H3))</f>
        <v>0.2857142857142857</v>
      </c>
      <c r="C14" s="170">
        <f>C3/(SUM($B3:$H3))</f>
        <v>0.42857142857142855</v>
      </c>
      <c r="D14" s="170">
        <f t="shared" ref="D14:H14" si="1">D3/(SUM($B3:$H3))</f>
        <v>0</v>
      </c>
      <c r="E14" s="170">
        <f t="shared" si="1"/>
        <v>0.14285714285714285</v>
      </c>
      <c r="F14" s="170">
        <f t="shared" si="1"/>
        <v>0</v>
      </c>
      <c r="G14" s="170">
        <f t="shared" si="1"/>
        <v>0.14285714285714285</v>
      </c>
      <c r="H14" s="170">
        <f t="shared" si="1"/>
        <v>0</v>
      </c>
      <c r="I14" s="41"/>
      <c r="J14" s="42"/>
    </row>
    <row r="15" spans="1:16" x14ac:dyDescent="0.25">
      <c r="A15" s="41" t="s">
        <v>17</v>
      </c>
      <c r="B15" s="170">
        <f>B4/(SUM($B4:$H4))</f>
        <v>0.17647058823529413</v>
      </c>
      <c r="C15" s="170">
        <f t="shared" ref="C15:H15" si="2">C4/(SUM($B4:$H4))</f>
        <v>0.17647058823529413</v>
      </c>
      <c r="D15" s="170">
        <f t="shared" si="2"/>
        <v>0.17647058823529413</v>
      </c>
      <c r="E15" s="170">
        <f t="shared" si="2"/>
        <v>0.23529411764705882</v>
      </c>
      <c r="F15" s="170">
        <f t="shared" si="2"/>
        <v>0.17647058823529413</v>
      </c>
      <c r="G15" s="170">
        <f t="shared" si="2"/>
        <v>5.8823529411764705E-2</v>
      </c>
      <c r="H15" s="170">
        <f t="shared" si="2"/>
        <v>0</v>
      </c>
      <c r="I15" s="41"/>
      <c r="J15" s="42"/>
    </row>
    <row r="16" spans="1:16" x14ac:dyDescent="0.25">
      <c r="A16" s="41" t="s">
        <v>18</v>
      </c>
      <c r="B16" s="170">
        <f t="shared" ref="B16:H16" si="3">B5/(SUM($B5:$H5))</f>
        <v>0.125</v>
      </c>
      <c r="C16" s="170">
        <f t="shared" si="3"/>
        <v>0.1875</v>
      </c>
      <c r="D16" s="170">
        <f t="shared" si="3"/>
        <v>6.25E-2</v>
      </c>
      <c r="E16" s="170">
        <f t="shared" si="3"/>
        <v>0.125</v>
      </c>
      <c r="F16" s="170">
        <f t="shared" si="3"/>
        <v>0.25</v>
      </c>
      <c r="G16" s="170">
        <f t="shared" si="3"/>
        <v>0.1875</v>
      </c>
      <c r="H16" s="170">
        <f t="shared" si="3"/>
        <v>6.25E-2</v>
      </c>
      <c r="I16" s="41"/>
      <c r="J16" s="42"/>
    </row>
    <row r="17" spans="1:45" x14ac:dyDescent="0.25">
      <c r="A17" s="41" t="s">
        <v>19</v>
      </c>
      <c r="B17" s="170">
        <f t="shared" ref="B17:H17" si="4">B6/(SUM($B6:$H6))</f>
        <v>0.21428571428571427</v>
      </c>
      <c r="C17" s="170">
        <f t="shared" si="4"/>
        <v>0</v>
      </c>
      <c r="D17" s="170">
        <f t="shared" si="4"/>
        <v>7.1428571428571425E-2</v>
      </c>
      <c r="E17" s="170">
        <f t="shared" si="4"/>
        <v>0.21428571428571427</v>
      </c>
      <c r="F17" s="170">
        <f t="shared" si="4"/>
        <v>0.2857142857142857</v>
      </c>
      <c r="G17" s="170">
        <f t="shared" si="4"/>
        <v>0.14285714285714285</v>
      </c>
      <c r="H17" s="170">
        <f t="shared" si="4"/>
        <v>7.1428571428571425E-2</v>
      </c>
      <c r="I17" s="41"/>
      <c r="J17" s="42"/>
    </row>
    <row r="18" spans="1:45" s="152" customFormat="1" x14ac:dyDescent="0.25">
      <c r="A18" s="171" t="s">
        <v>20</v>
      </c>
      <c r="B18" s="172">
        <f t="shared" ref="B18:H18" si="5">B7/(SUM($B7:$H7))</f>
        <v>0.36363636363636365</v>
      </c>
      <c r="C18" s="172">
        <f t="shared" si="5"/>
        <v>9.0909090909090912E-2</v>
      </c>
      <c r="D18" s="172">
        <f t="shared" si="5"/>
        <v>9.0909090909090912E-2</v>
      </c>
      <c r="E18" s="172">
        <f t="shared" si="5"/>
        <v>0.27272727272727271</v>
      </c>
      <c r="F18" s="172">
        <f t="shared" si="5"/>
        <v>0.18181818181818182</v>
      </c>
      <c r="G18" s="172">
        <f t="shared" si="5"/>
        <v>0</v>
      </c>
      <c r="H18" s="172">
        <f t="shared" si="5"/>
        <v>0</v>
      </c>
      <c r="I18" s="171"/>
      <c r="J18" s="173"/>
      <c r="Q18" s="153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</row>
    <row r="19" spans="1:45" ht="15.75" thickBot="1" x14ac:dyDescent="0.3">
      <c r="A19" s="43" t="s">
        <v>102</v>
      </c>
      <c r="B19" s="174">
        <f>AVERAGE(B14:B18)</f>
        <v>0.23302139037433153</v>
      </c>
      <c r="C19" s="174">
        <f t="shared" ref="C19:H19" si="6">AVERAGE(C14:C18)</f>
        <v>0.17669022154316272</v>
      </c>
      <c r="D19" s="174">
        <f t="shared" si="6"/>
        <v>8.0261650114591299E-2</v>
      </c>
      <c r="E19" s="174">
        <f t="shared" si="6"/>
        <v>0.19803284950343775</v>
      </c>
      <c r="F19" s="174">
        <f t="shared" si="6"/>
        <v>0.17880061115355234</v>
      </c>
      <c r="G19" s="174">
        <f t="shared" si="6"/>
        <v>0.10640756302521008</v>
      </c>
      <c r="H19" s="174">
        <f t="shared" si="6"/>
        <v>2.6785714285714284E-2</v>
      </c>
      <c r="I19" s="43"/>
      <c r="J19" s="44"/>
    </row>
  </sheetData>
  <mergeCells count="2">
    <mergeCell ref="A1:J1"/>
    <mergeCell ref="A12:J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B08F-DBEC-4709-AB05-2AC162058D96}">
  <dimension ref="A1:N7"/>
  <sheetViews>
    <sheetView workbookViewId="0">
      <selection activeCell="D12" sqref="D12"/>
    </sheetView>
  </sheetViews>
  <sheetFormatPr defaultColWidth="9.140625" defaultRowHeight="15" x14ac:dyDescent="0.25"/>
  <cols>
    <col min="1" max="1" width="30.85546875" style="18" customWidth="1"/>
    <col min="2" max="2" width="19.42578125" style="18" bestFit="1" customWidth="1"/>
    <col min="3" max="3" width="16.85546875" style="18" bestFit="1" customWidth="1"/>
    <col min="4" max="4" width="16.42578125" style="18" bestFit="1" customWidth="1"/>
    <col min="5" max="5" width="13.7109375" style="18" customWidth="1"/>
    <col min="6" max="6" width="9.140625" style="18"/>
    <col min="7" max="7" width="12.85546875" style="18" bestFit="1" customWidth="1"/>
    <col min="8" max="8" width="11" style="18" bestFit="1" customWidth="1"/>
    <col min="9" max="9" width="12" style="18" bestFit="1" customWidth="1"/>
    <col min="10" max="16384" width="9.140625" style="18"/>
  </cols>
  <sheetData>
    <row r="1" spans="1:14" x14ac:dyDescent="0.25">
      <c r="A1" s="83" t="s">
        <v>103</v>
      </c>
      <c r="B1" s="181"/>
      <c r="C1" s="181"/>
      <c r="D1" s="98"/>
      <c r="G1" s="83" t="s">
        <v>104</v>
      </c>
      <c r="H1" s="189">
        <v>3</v>
      </c>
      <c r="N1" s="149"/>
    </row>
    <row r="2" spans="1:14" ht="15.75" thickBot="1" x14ac:dyDescent="0.3">
      <c r="A2" s="110" t="s">
        <v>13</v>
      </c>
      <c r="B2" s="20"/>
      <c r="C2" s="20"/>
      <c r="D2" s="182"/>
      <c r="G2" s="190" t="s">
        <v>99</v>
      </c>
      <c r="H2" s="191">
        <v>2017</v>
      </c>
    </row>
    <row r="3" spans="1:14" ht="15.75" thickBot="1" x14ac:dyDescent="0.3">
      <c r="A3" s="183" t="s">
        <v>16</v>
      </c>
      <c r="B3" s="184">
        <f t="array" ref="B3:D3">LARGE(([0]!ФИО_менеджера = $A3)*(YEAR(Дата) =$H$2)*( MONTH(Дата) = $H$1)*Таблица1[Чистая стоимость],{1,2,3})</f>
        <v>10440</v>
      </c>
      <c r="C3" s="184">
        <v>2848</v>
      </c>
      <c r="D3" s="185">
        <v>2520</v>
      </c>
      <c r="E3" s="192">
        <f>SUM(B3:D3)</f>
        <v>15808</v>
      </c>
    </row>
    <row r="4" spans="1:14" x14ac:dyDescent="0.25">
      <c r="A4" s="183" t="s">
        <v>17</v>
      </c>
      <c r="B4" s="184">
        <f t="array" ref="B4:D4">LARGE(([0]!ФИО_менеджера = $A4)*(YEAR(Дата) =$H$2)*( MONTH(Дата) = $H$1)*Таблица1[Чистая стоимость],{1,2,3})</f>
        <v>20900</v>
      </c>
      <c r="C4" s="184">
        <v>5400</v>
      </c>
      <c r="D4" s="185">
        <v>2240</v>
      </c>
    </row>
    <row r="5" spans="1:14" x14ac:dyDescent="0.25">
      <c r="A5" s="183" t="s">
        <v>18</v>
      </c>
      <c r="B5" s="184">
        <f t="array" ref="B5:D5">LARGE(([0]!ФИО_менеджера = $A5)*(YEAR(Дата) =$H$2)*( MONTH(Дата) = $H$1)*Таблица1[Чистая стоимость],{1,2,3})</f>
        <v>8700</v>
      </c>
      <c r="C5" s="184">
        <v>4000</v>
      </c>
      <c r="D5" s="185">
        <v>2240</v>
      </c>
    </row>
    <row r="6" spans="1:14" x14ac:dyDescent="0.25">
      <c r="A6" s="183" t="s">
        <v>19</v>
      </c>
      <c r="B6" s="184">
        <f t="array" ref="B6:D6">LARGE(([0]!ФИО_менеджера = $A6)*(YEAR(Дата) =$H$2)*( MONTH(Дата) = $H$1)*Таблица1[Чистая стоимость],{1,2,3})</f>
        <v>13200</v>
      </c>
      <c r="C6" s="184">
        <v>5400</v>
      </c>
      <c r="D6" s="185">
        <v>0</v>
      </c>
    </row>
    <row r="7" spans="1:14" ht="15.75" thickBot="1" x14ac:dyDescent="0.3">
      <c r="A7" s="186" t="s">
        <v>20</v>
      </c>
      <c r="B7" s="187">
        <f t="array" ref="B7:D7">LARGE(([0]!ФИО_менеджера = $A7)*(YEAR(Дата) =$H$2)*( MONTH(Дата) = $H$1)*Таблица1[Чистая стоимость],{1,2,3})</f>
        <v>19800</v>
      </c>
      <c r="C7" s="187">
        <v>14442</v>
      </c>
      <c r="D7" s="188">
        <v>7560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M131"/>
  <sheetViews>
    <sheetView workbookViewId="0">
      <pane ySplit="1" topLeftCell="A95" activePane="bottomLeft" state="frozen"/>
      <selection pane="bottomLeft"/>
    </sheetView>
  </sheetViews>
  <sheetFormatPr defaultColWidth="8.85546875" defaultRowHeight="15" x14ac:dyDescent="0.25"/>
  <cols>
    <col min="1" max="1" width="10.140625" bestFit="1" customWidth="1"/>
    <col min="2" max="2" width="27.5703125" bestFit="1" customWidth="1"/>
    <col min="3" max="3" width="25.42578125" bestFit="1" customWidth="1"/>
    <col min="4" max="4" width="24.28515625" bestFit="1" customWidth="1"/>
    <col min="5" max="5" width="13.85546875" bestFit="1" customWidth="1"/>
    <col min="6" max="6" width="8" bestFit="1" customWidth="1"/>
    <col min="7" max="7" width="13" bestFit="1" customWidth="1"/>
    <col min="8" max="8" width="30.140625" bestFit="1" customWidth="1"/>
    <col min="9" max="9" width="24.140625" bestFit="1" customWidth="1"/>
    <col min="10" max="10" width="21.7109375" bestFit="1" customWidth="1"/>
    <col min="11" max="11" width="19.5703125" bestFit="1" customWidth="1"/>
    <col min="12" max="12" width="16.42578125" bestFit="1" customWidth="1"/>
    <col min="13" max="13" width="15.5703125" bestFit="1" customWidth="1"/>
  </cols>
  <sheetData>
    <row r="1" spans="1:13" s="1" customFormat="1" ht="15.75" thickBot="1" x14ac:dyDescent="0.3">
      <c r="A1" s="45" t="s">
        <v>23</v>
      </c>
      <c r="B1" s="46" t="s">
        <v>13</v>
      </c>
      <c r="C1" s="46" t="s">
        <v>0</v>
      </c>
      <c r="D1" s="46" t="s">
        <v>5</v>
      </c>
      <c r="E1" s="46" t="s">
        <v>22</v>
      </c>
      <c r="F1" s="46" t="s">
        <v>72</v>
      </c>
      <c r="G1" s="46" t="s">
        <v>21</v>
      </c>
      <c r="H1" s="47" t="s">
        <v>69</v>
      </c>
      <c r="I1" s="47" t="s">
        <v>70</v>
      </c>
      <c r="J1" s="46" t="s">
        <v>71</v>
      </c>
      <c r="K1" s="48" t="s">
        <v>90</v>
      </c>
      <c r="L1" s="49" t="s">
        <v>91</v>
      </c>
      <c r="M1" s="151" t="s">
        <v>105</v>
      </c>
    </row>
    <row r="2" spans="1:13" x14ac:dyDescent="0.25">
      <c r="A2" s="30">
        <v>42745</v>
      </c>
      <c r="B2" s="25" t="s">
        <v>17</v>
      </c>
      <c r="C2" s="25" t="s">
        <v>4</v>
      </c>
      <c r="D2" s="25" t="s">
        <v>10</v>
      </c>
      <c r="E2" s="25">
        <v>120</v>
      </c>
      <c r="F2" s="25">
        <f>VLOOKUP(Таблица1[[#This Row],[Наименование Товара]],'Информация о товаарах'!$A$2:$C$9,3,FALSE)</f>
        <v>45</v>
      </c>
      <c r="G2" s="26">
        <f>Таблица1[[#This Row],[Количество]]*Таблица1[[#This Row],[Цена]]</f>
        <v>5400</v>
      </c>
      <c r="H2" s="27">
        <v>42751</v>
      </c>
      <c r="I2" s="25">
        <v>20</v>
      </c>
      <c r="J2" s="25">
        <f>IF(Таблица1[[#This Row],[Количество к возврату]] = "","0",Таблица1[[#This Row],[Цена]]*Таблица1[[#This Row],[Количество к возврату]])</f>
        <v>900</v>
      </c>
      <c r="K2" s="28">
        <f>Таблица1[[#This Row],[Стоимость]]-Таблица1[[#This Row],[Стоимость возврата]]</f>
        <v>4500</v>
      </c>
      <c r="L2" s="31">
        <f>Таблица1[[#This Row],[Количество]]-Таблица1[[#This Row],[Количество к возврату]]</f>
        <v>100</v>
      </c>
      <c r="M2" s="150">
        <f>WEEKDAY(Таблица1[[#This Row],[Дата]],2)</f>
        <v>2</v>
      </c>
    </row>
    <row r="3" spans="1:13" x14ac:dyDescent="0.25">
      <c r="A3" s="32">
        <v>42746</v>
      </c>
      <c r="B3" s="16" t="s">
        <v>17</v>
      </c>
      <c r="C3" s="16" t="s">
        <v>4</v>
      </c>
      <c r="D3" s="16" t="s">
        <v>9</v>
      </c>
      <c r="E3" s="16">
        <v>110</v>
      </c>
      <c r="F3" s="16">
        <f>VLOOKUP(Таблица1[[#This Row],[Наименование Товара]],'Информация о товаарах'!$A$2:$C$9,3,FALSE)</f>
        <v>32</v>
      </c>
      <c r="G3" s="17">
        <f>Таблица1[[#This Row],[Количество]]*Таблица1[[#This Row],[Цена]]</f>
        <v>3520</v>
      </c>
      <c r="H3" s="16"/>
      <c r="I3" s="16"/>
      <c r="J3" s="16" t="str">
        <f>IF(Таблица1[[#This Row],[Количество к возврату]] = "","0",Таблица1[[#This Row],[Цена]]*Таблица1[[#This Row],[Количество к возврату]])</f>
        <v>0</v>
      </c>
      <c r="K3" s="22">
        <f>Таблица1[[#This Row],[Стоимость]]-Таблица1[[#This Row],[Стоимость возврата]]</f>
        <v>3520</v>
      </c>
      <c r="L3" s="33">
        <f>Таблица1[[#This Row],[Количество]]-Таблица1[[#This Row],[Количество к возврату]]</f>
        <v>110</v>
      </c>
      <c r="M3" s="150">
        <f>WEEKDAY(Таблица1[[#This Row],[Дата]],2)</f>
        <v>3</v>
      </c>
    </row>
    <row r="4" spans="1:13" x14ac:dyDescent="0.25">
      <c r="A4" s="32">
        <v>42747</v>
      </c>
      <c r="B4" s="16" t="s">
        <v>20</v>
      </c>
      <c r="C4" s="16" t="s">
        <v>3</v>
      </c>
      <c r="D4" s="16" t="s">
        <v>62</v>
      </c>
      <c r="E4" s="16">
        <v>110</v>
      </c>
      <c r="F4" s="16">
        <f>VLOOKUP(Таблица1[[#This Row],[Наименование Товара]],'Информация о товаарах'!$A$2:$C$9,3,FALSE)</f>
        <v>136</v>
      </c>
      <c r="G4" s="17">
        <f>Таблица1[[#This Row],[Количество]]*Таблица1[[#This Row],[Цена]]</f>
        <v>14960</v>
      </c>
      <c r="H4" s="16"/>
      <c r="I4" s="16"/>
      <c r="J4" s="16" t="str">
        <f>IF(Таблица1[[#This Row],[Количество к возврату]] = "","0",Таблица1[[#This Row],[Цена]]*Таблица1[[#This Row],[Количество к возврату]])</f>
        <v>0</v>
      </c>
      <c r="K4" s="22">
        <f>Таблица1[[#This Row],[Стоимость]]-Таблица1[[#This Row],[Стоимость возврата]]</f>
        <v>14960</v>
      </c>
      <c r="L4" s="33">
        <f>Таблица1[[#This Row],[Количество]]-Таблица1[[#This Row],[Количество к возврату]]</f>
        <v>110</v>
      </c>
      <c r="M4" s="150">
        <f>WEEKDAY(Таблица1[[#This Row],[Дата]],2)</f>
        <v>4</v>
      </c>
    </row>
    <row r="5" spans="1:13" x14ac:dyDescent="0.25">
      <c r="A5" s="32">
        <v>42752</v>
      </c>
      <c r="B5" s="16" t="s">
        <v>18</v>
      </c>
      <c r="C5" s="16" t="s">
        <v>2</v>
      </c>
      <c r="D5" s="16" t="s">
        <v>7</v>
      </c>
      <c r="E5" s="16">
        <v>70</v>
      </c>
      <c r="F5" s="16">
        <f>VLOOKUP(Таблица1[[#This Row],[Наименование Товара]],'Информация о товаарах'!$A$2:$C$9,3,FALSE)</f>
        <v>25</v>
      </c>
      <c r="G5" s="17">
        <f>Таблица1[[#This Row],[Количество]]*Таблица1[[#This Row],[Цена]]</f>
        <v>1750</v>
      </c>
      <c r="H5" s="16"/>
      <c r="I5" s="16"/>
      <c r="J5" s="16" t="str">
        <f>IF(Таблица1[[#This Row],[Количество к возврату]] = "","0",Таблица1[[#This Row],[Цена]]*Таблица1[[#This Row],[Количество к возврату]])</f>
        <v>0</v>
      </c>
      <c r="K5" s="22">
        <f>Таблица1[[#This Row],[Стоимость]]-Таблица1[[#This Row],[Стоимость возврата]]</f>
        <v>1750</v>
      </c>
      <c r="L5" s="33">
        <f>Таблица1[[#This Row],[Количество]]-Таблица1[[#This Row],[Количество к возврату]]</f>
        <v>70</v>
      </c>
      <c r="M5" s="150">
        <f>WEEKDAY(Таблица1[[#This Row],[Дата]],2)</f>
        <v>2</v>
      </c>
    </row>
    <row r="6" spans="1:13" x14ac:dyDescent="0.25">
      <c r="A6" s="32">
        <v>42754</v>
      </c>
      <c r="B6" s="16" t="s">
        <v>17</v>
      </c>
      <c r="C6" s="16" t="s">
        <v>2</v>
      </c>
      <c r="D6" s="16" t="s">
        <v>7</v>
      </c>
      <c r="E6" s="16">
        <v>78</v>
      </c>
      <c r="F6" s="16">
        <f>VLOOKUP(Таблица1[[#This Row],[Наименование Товара]],'Информация о товаарах'!$A$2:$C$9,3,FALSE)</f>
        <v>25</v>
      </c>
      <c r="G6" s="17">
        <f>Таблица1[[#This Row],[Количество]]*Таблица1[[#This Row],[Цена]]</f>
        <v>1950</v>
      </c>
      <c r="H6" s="16"/>
      <c r="I6" s="16"/>
      <c r="J6" s="16" t="str">
        <f>IF(Таблица1[[#This Row],[Количество к возврату]] = "","0",Таблица1[[#This Row],[Цена]]*Таблица1[[#This Row],[Количество к возврату]])</f>
        <v>0</v>
      </c>
      <c r="K6" s="22">
        <f>Таблица1[[#This Row],[Стоимость]]-Таблица1[[#This Row],[Стоимость возврата]]</f>
        <v>1950</v>
      </c>
      <c r="L6" s="33">
        <f>Таблица1[[#This Row],[Количество]]-Таблица1[[#This Row],[Количество к возврату]]</f>
        <v>78</v>
      </c>
      <c r="M6" s="150">
        <f>WEEKDAY(Таблица1[[#This Row],[Дата]],2)</f>
        <v>4</v>
      </c>
    </row>
    <row r="7" spans="1:13" x14ac:dyDescent="0.25">
      <c r="A7" s="32">
        <v>42759</v>
      </c>
      <c r="B7" s="16" t="s">
        <v>16</v>
      </c>
      <c r="C7" s="16" t="s">
        <v>4</v>
      </c>
      <c r="D7" s="16" t="s">
        <v>62</v>
      </c>
      <c r="E7" s="16">
        <v>120</v>
      </c>
      <c r="F7" s="16">
        <f>VLOOKUP(Таблица1[[#This Row],[Наименование Товара]],'Информация о товаарах'!$A$2:$C$9,3,FALSE)</f>
        <v>136</v>
      </c>
      <c r="G7" s="17">
        <f>Таблица1[[#This Row],[Количество]]*Таблица1[[#This Row],[Цена]]</f>
        <v>16320</v>
      </c>
      <c r="H7" s="15">
        <v>42765</v>
      </c>
      <c r="I7" s="16">
        <v>80</v>
      </c>
      <c r="J7" s="16">
        <f>IF(Таблица1[[#This Row],[Количество к возврату]] = "","0",Таблица1[[#This Row],[Цена]]*Таблица1[[#This Row],[Количество к возврату]])</f>
        <v>10880</v>
      </c>
      <c r="K7" s="22">
        <f>Таблица1[[#This Row],[Стоимость]]-Таблица1[[#This Row],[Стоимость возврата]]</f>
        <v>5440</v>
      </c>
      <c r="L7" s="33">
        <f>Таблица1[[#This Row],[Количество]]-Таблица1[[#This Row],[Количество к возврату]]</f>
        <v>40</v>
      </c>
      <c r="M7" s="150">
        <f>WEEKDAY(Таблица1[[#This Row],[Дата]],2)</f>
        <v>2</v>
      </c>
    </row>
    <row r="8" spans="1:13" x14ac:dyDescent="0.25">
      <c r="A8" s="32">
        <v>42759</v>
      </c>
      <c r="B8" s="16" t="s">
        <v>20</v>
      </c>
      <c r="C8" s="16" t="s">
        <v>3</v>
      </c>
      <c r="D8" s="16" t="s">
        <v>27</v>
      </c>
      <c r="E8" s="16">
        <v>230</v>
      </c>
      <c r="F8" s="16">
        <f>VLOOKUP(Таблица1[[#This Row],[Наименование Товара]],'Информация о товаарах'!$A$2:$C$9,3,FALSE)</f>
        <v>65</v>
      </c>
      <c r="G8" s="17">
        <f>Таблица1[[#This Row],[Количество]]*Таблица1[[#This Row],[Цена]]</f>
        <v>14950</v>
      </c>
      <c r="H8" s="16"/>
      <c r="I8" s="16"/>
      <c r="J8" s="16" t="str">
        <f>IF(Таблица1[[#This Row],[Количество к возврату]] = "","0",Таблица1[[#This Row],[Цена]]*Таблица1[[#This Row],[Количество к возврату]])</f>
        <v>0</v>
      </c>
      <c r="K8" s="22">
        <f>Таблица1[[#This Row],[Стоимость]]-Таблица1[[#This Row],[Стоимость возврата]]</f>
        <v>14950</v>
      </c>
      <c r="L8" s="33">
        <f>Таблица1[[#This Row],[Количество]]-Таблица1[[#This Row],[Количество к возврату]]</f>
        <v>230</v>
      </c>
      <c r="M8" s="150">
        <f>WEEKDAY(Таблица1[[#This Row],[Дата]],2)</f>
        <v>2</v>
      </c>
    </row>
    <row r="9" spans="1:13" x14ac:dyDescent="0.25">
      <c r="A9" s="32">
        <v>42760</v>
      </c>
      <c r="B9" s="16" t="s">
        <v>16</v>
      </c>
      <c r="C9" s="16" t="s">
        <v>2</v>
      </c>
      <c r="D9" s="16" t="s">
        <v>9</v>
      </c>
      <c r="E9" s="16">
        <v>100</v>
      </c>
      <c r="F9" s="16">
        <f>VLOOKUP(Таблица1[[#This Row],[Наименование Товара]],'Информация о товаарах'!$A$2:$C$9,3,FALSE)</f>
        <v>32</v>
      </c>
      <c r="G9" s="17">
        <f>Таблица1[[#This Row],[Количество]]*Таблица1[[#This Row],[Цена]]</f>
        <v>3200</v>
      </c>
      <c r="H9" s="16"/>
      <c r="I9" s="16"/>
      <c r="J9" s="16" t="str">
        <f>IF(Таблица1[[#This Row],[Количество к возврату]] = "","0",Таблица1[[#This Row],[Цена]]*Таблица1[[#This Row],[Количество к возврату]])</f>
        <v>0</v>
      </c>
      <c r="K9" s="22">
        <f>Таблица1[[#This Row],[Стоимость]]-Таблица1[[#This Row],[Стоимость возврата]]</f>
        <v>3200</v>
      </c>
      <c r="L9" s="33">
        <f>Таблица1[[#This Row],[Количество]]-Таблица1[[#This Row],[Количество к возврату]]</f>
        <v>100</v>
      </c>
      <c r="M9" s="150">
        <f>WEEKDAY(Таблица1[[#This Row],[Дата]],2)</f>
        <v>3</v>
      </c>
    </row>
    <row r="10" spans="1:13" x14ac:dyDescent="0.25">
      <c r="A10" s="32">
        <v>42766</v>
      </c>
      <c r="B10" s="16" t="s">
        <v>18</v>
      </c>
      <c r="C10" s="16" t="s">
        <v>4</v>
      </c>
      <c r="D10" s="16" t="s">
        <v>26</v>
      </c>
      <c r="E10" s="16">
        <v>129</v>
      </c>
      <c r="F10" s="16">
        <f>VLOOKUP(Таблица1[[#This Row],[Наименование Товара]],'Информация о товаарах'!$A$2:$C$9,3,FALSE)</f>
        <v>54</v>
      </c>
      <c r="G10" s="17">
        <f>Таблица1[[#This Row],[Количество]]*Таблица1[[#This Row],[Цена]]</f>
        <v>6966</v>
      </c>
      <c r="H10" s="16"/>
      <c r="I10" s="16"/>
      <c r="J10" s="16" t="str">
        <f>IF(Таблица1[[#This Row],[Количество к возврату]] = "","0",Таблица1[[#This Row],[Цена]]*Таблица1[[#This Row],[Количество к возврату]])</f>
        <v>0</v>
      </c>
      <c r="K10" s="22">
        <f>Таблица1[[#This Row],[Стоимость]]-Таблица1[[#This Row],[Стоимость возврата]]</f>
        <v>6966</v>
      </c>
      <c r="L10" s="33">
        <f>Таблица1[[#This Row],[Количество]]-Таблица1[[#This Row],[Количество к возврату]]</f>
        <v>129</v>
      </c>
      <c r="M10" s="150">
        <f>WEEKDAY(Таблица1[[#This Row],[Дата]],2)</f>
        <v>2</v>
      </c>
    </row>
    <row r="11" spans="1:13" x14ac:dyDescent="0.25">
      <c r="A11" s="32">
        <v>42768</v>
      </c>
      <c r="B11" s="16" t="s">
        <v>19</v>
      </c>
      <c r="C11" s="16" t="s">
        <v>4</v>
      </c>
      <c r="D11" s="16" t="s">
        <v>28</v>
      </c>
      <c r="E11" s="16">
        <v>300</v>
      </c>
      <c r="F11" s="16">
        <f>VLOOKUP(Таблица1[[#This Row],[Наименование Товара]],'Информация о товаарах'!$A$2:$C$9,3,FALSE)</f>
        <v>87</v>
      </c>
      <c r="G11" s="17">
        <f>Таблица1[[#This Row],[Количество]]*Таблица1[[#This Row],[Цена]]</f>
        <v>26100</v>
      </c>
      <c r="H11" s="16"/>
      <c r="I11" s="16"/>
      <c r="J11" s="16" t="str">
        <f>IF(Таблица1[[#This Row],[Количество к возврату]] = "","0",Таблица1[[#This Row],[Цена]]*Таблица1[[#This Row],[Количество к возврату]])</f>
        <v>0</v>
      </c>
      <c r="K11" s="22">
        <f>Таблица1[[#This Row],[Стоимость]]-Таблица1[[#This Row],[Стоимость возврата]]</f>
        <v>26100</v>
      </c>
      <c r="L11" s="33">
        <f>Таблица1[[#This Row],[Количество]]-Таблица1[[#This Row],[Количество к возврату]]</f>
        <v>300</v>
      </c>
      <c r="M11" s="150">
        <f>WEEKDAY(Таблица1[[#This Row],[Дата]],2)</f>
        <v>4</v>
      </c>
    </row>
    <row r="12" spans="1:13" x14ac:dyDescent="0.25">
      <c r="A12" s="32">
        <v>42769</v>
      </c>
      <c r="B12" s="16" t="s">
        <v>16</v>
      </c>
      <c r="C12" s="16" t="s">
        <v>3</v>
      </c>
      <c r="D12" s="16" t="s">
        <v>61</v>
      </c>
      <c r="E12" s="16">
        <v>500</v>
      </c>
      <c r="F12" s="16">
        <f>VLOOKUP(Таблица1[[#This Row],[Наименование Товара]],'Информация о товаарах'!$A$2:$C$9,3,FALSE)</f>
        <v>110</v>
      </c>
      <c r="G12" s="17">
        <f>Таблица1[[#This Row],[Количество]]*Таблица1[[#This Row],[Цена]]</f>
        <v>55000</v>
      </c>
      <c r="H12" s="16"/>
      <c r="I12" s="16"/>
      <c r="J12" s="16" t="str">
        <f>IF(Таблица1[[#This Row],[Количество к возврату]] = "","0",Таблица1[[#This Row],[Цена]]*Таблица1[[#This Row],[Количество к возврату]])</f>
        <v>0</v>
      </c>
      <c r="K12" s="22">
        <f>Таблица1[[#This Row],[Стоимость]]-Таблица1[[#This Row],[Стоимость возврата]]</f>
        <v>55000</v>
      </c>
      <c r="L12" s="33">
        <f>Таблица1[[#This Row],[Количество]]-Таблица1[[#This Row],[Количество к возврату]]</f>
        <v>500</v>
      </c>
      <c r="M12" s="150">
        <f>WEEKDAY(Таблица1[[#This Row],[Дата]],2)</f>
        <v>5</v>
      </c>
    </row>
    <row r="13" spans="1:13" x14ac:dyDescent="0.25">
      <c r="A13" s="32">
        <v>42769</v>
      </c>
      <c r="B13" s="16" t="s">
        <v>19</v>
      </c>
      <c r="C13" s="16" t="s">
        <v>2</v>
      </c>
      <c r="D13" s="16" t="s">
        <v>62</v>
      </c>
      <c r="E13" s="16">
        <v>110</v>
      </c>
      <c r="F13" s="16">
        <f>VLOOKUP(Таблица1[[#This Row],[Наименование Товара]],'Информация о товаарах'!$A$2:$C$9,3,FALSE)</f>
        <v>136</v>
      </c>
      <c r="G13" s="17">
        <f>Таблица1[[#This Row],[Количество]]*Таблица1[[#This Row],[Цена]]</f>
        <v>14960</v>
      </c>
      <c r="H13" s="15">
        <v>42786</v>
      </c>
      <c r="I13" s="16">
        <v>50</v>
      </c>
      <c r="J13" s="16">
        <f>IF(Таблица1[[#This Row],[Количество к возврату]] = "","0",Таблица1[[#This Row],[Цена]]*Таблица1[[#This Row],[Количество к возврату]])</f>
        <v>6800</v>
      </c>
      <c r="K13" s="22">
        <f>Таблица1[[#This Row],[Стоимость]]-Таблица1[[#This Row],[Стоимость возврата]]</f>
        <v>8160</v>
      </c>
      <c r="L13" s="33">
        <f>Таблица1[[#This Row],[Количество]]-Таблица1[[#This Row],[Количество к возврату]]</f>
        <v>60</v>
      </c>
      <c r="M13" s="150">
        <f>WEEKDAY(Таблица1[[#This Row],[Дата]],2)</f>
        <v>5</v>
      </c>
    </row>
    <row r="14" spans="1:13" x14ac:dyDescent="0.25">
      <c r="A14" s="32">
        <v>42769</v>
      </c>
      <c r="B14" s="16" t="s">
        <v>18</v>
      </c>
      <c r="C14" s="16" t="s">
        <v>2</v>
      </c>
      <c r="D14" s="16" t="s">
        <v>7</v>
      </c>
      <c r="E14" s="16">
        <v>80</v>
      </c>
      <c r="F14" s="16">
        <f>VLOOKUP(Таблица1[[#This Row],[Наименование Товара]],'Информация о товаарах'!$A$2:$C$9,3,FALSE)</f>
        <v>25</v>
      </c>
      <c r="G14" s="17">
        <f>Таблица1[[#This Row],[Количество]]*Таблица1[[#This Row],[Цена]]</f>
        <v>2000</v>
      </c>
      <c r="H14" s="16"/>
      <c r="I14" s="16"/>
      <c r="J14" s="16" t="str">
        <f>IF(Таблица1[[#This Row],[Количество к возврату]] = "","0",Таблица1[[#This Row],[Цена]]*Таблица1[[#This Row],[Количество к возврату]])</f>
        <v>0</v>
      </c>
      <c r="K14" s="22">
        <f>Таблица1[[#This Row],[Стоимость]]-Таблица1[[#This Row],[Стоимость возврата]]</f>
        <v>2000</v>
      </c>
      <c r="L14" s="33">
        <f>Таблица1[[#This Row],[Количество]]-Таблица1[[#This Row],[Количество к возврату]]</f>
        <v>80</v>
      </c>
      <c r="M14" s="150">
        <f>WEEKDAY(Таблица1[[#This Row],[Дата]],2)</f>
        <v>5</v>
      </c>
    </row>
    <row r="15" spans="1:13" x14ac:dyDescent="0.25">
      <c r="A15" s="32">
        <v>42774</v>
      </c>
      <c r="B15" s="16" t="s">
        <v>17</v>
      </c>
      <c r="C15" s="16" t="s">
        <v>4</v>
      </c>
      <c r="D15" s="16" t="s">
        <v>9</v>
      </c>
      <c r="E15" s="16">
        <v>150</v>
      </c>
      <c r="F15" s="16">
        <f>VLOOKUP(Таблица1[[#This Row],[Наименование Товара]],'Информация о товаарах'!$A$2:$C$9,3,FALSE)</f>
        <v>32</v>
      </c>
      <c r="G15" s="17">
        <f>Таблица1[[#This Row],[Количество]]*Таблица1[[#This Row],[Цена]]</f>
        <v>4800</v>
      </c>
      <c r="H15" s="15">
        <v>42782</v>
      </c>
      <c r="I15" s="16">
        <v>50</v>
      </c>
      <c r="J15" s="16">
        <f>IF(Таблица1[[#This Row],[Количество к возврату]] = "","0",Таблица1[[#This Row],[Цена]]*Таблица1[[#This Row],[Количество к возврату]])</f>
        <v>1600</v>
      </c>
      <c r="K15" s="22">
        <f>Таблица1[[#This Row],[Стоимость]]-Таблица1[[#This Row],[Стоимость возврата]]</f>
        <v>3200</v>
      </c>
      <c r="L15" s="33">
        <f>Таблица1[[#This Row],[Количество]]-Таблица1[[#This Row],[Количество к возврату]]</f>
        <v>100</v>
      </c>
      <c r="M15" s="150">
        <f>WEEKDAY(Таблица1[[#This Row],[Дата]],2)</f>
        <v>3</v>
      </c>
    </row>
    <row r="16" spans="1:13" x14ac:dyDescent="0.25">
      <c r="A16" s="32">
        <v>42775</v>
      </c>
      <c r="B16" s="16" t="s">
        <v>20</v>
      </c>
      <c r="C16" s="16" t="s">
        <v>3</v>
      </c>
      <c r="D16" s="16" t="s">
        <v>26</v>
      </c>
      <c r="E16" s="16">
        <v>90</v>
      </c>
      <c r="F16" s="16">
        <f>VLOOKUP(Таблица1[[#This Row],[Наименование Товара]],'Информация о товаарах'!$A$2:$C$9,3,FALSE)</f>
        <v>54</v>
      </c>
      <c r="G16" s="17">
        <f>Таблица1[[#This Row],[Количество]]*Таблица1[[#This Row],[Цена]]</f>
        <v>4860</v>
      </c>
      <c r="H16" s="16"/>
      <c r="I16" s="16"/>
      <c r="J16" s="16" t="str">
        <f>IF(Таблица1[[#This Row],[Количество к возврату]] = "","0",Таблица1[[#This Row],[Цена]]*Таблица1[[#This Row],[Количество к возврату]])</f>
        <v>0</v>
      </c>
      <c r="K16" s="22">
        <f>Таблица1[[#This Row],[Стоимость]]-Таблица1[[#This Row],[Стоимость возврата]]</f>
        <v>4860</v>
      </c>
      <c r="L16" s="33">
        <f>Таблица1[[#This Row],[Количество]]-Таблица1[[#This Row],[Количество к возврату]]</f>
        <v>90</v>
      </c>
      <c r="M16" s="150">
        <f>WEEKDAY(Таблица1[[#This Row],[Дата]],2)</f>
        <v>4</v>
      </c>
    </row>
    <row r="17" spans="1:13" x14ac:dyDescent="0.25">
      <c r="A17" s="32">
        <v>42783</v>
      </c>
      <c r="B17" s="16" t="s">
        <v>17</v>
      </c>
      <c r="C17" s="16" t="s">
        <v>4</v>
      </c>
      <c r="D17" s="16" t="s">
        <v>28</v>
      </c>
      <c r="E17" s="16">
        <v>310</v>
      </c>
      <c r="F17" s="16">
        <f>VLOOKUP(Таблица1[[#This Row],[Наименование Товара]],'Информация о товаарах'!$A$2:$C$9,3,FALSE)</f>
        <v>87</v>
      </c>
      <c r="G17" s="17">
        <f>Таблица1[[#This Row],[Количество]]*Таблица1[[#This Row],[Цена]]</f>
        <v>26970</v>
      </c>
      <c r="H17" s="16"/>
      <c r="I17" s="16"/>
      <c r="J17" s="16" t="str">
        <f>IF(Таблица1[[#This Row],[Количество к возврату]] = "","0",Таблица1[[#This Row],[Цена]]*Таблица1[[#This Row],[Количество к возврату]])</f>
        <v>0</v>
      </c>
      <c r="K17" s="22">
        <f>Таблица1[[#This Row],[Стоимость]]-Таблица1[[#This Row],[Стоимость возврата]]</f>
        <v>26970</v>
      </c>
      <c r="L17" s="33">
        <f>Таблица1[[#This Row],[Количество]]-Таблица1[[#This Row],[Количество к возврату]]</f>
        <v>310</v>
      </c>
      <c r="M17" s="150">
        <f>WEEKDAY(Таблица1[[#This Row],[Дата]],2)</f>
        <v>5</v>
      </c>
    </row>
    <row r="18" spans="1:13" x14ac:dyDescent="0.25">
      <c r="A18" s="32">
        <v>42783</v>
      </c>
      <c r="B18" s="16" t="s">
        <v>17</v>
      </c>
      <c r="C18" s="16" t="s">
        <v>4</v>
      </c>
      <c r="D18" s="16" t="s">
        <v>9</v>
      </c>
      <c r="E18" s="16">
        <v>100</v>
      </c>
      <c r="F18" s="16">
        <f>VLOOKUP(Таблица1[[#This Row],[Наименование Товара]],'Информация о товаарах'!$A$2:$C$9,3,FALSE)</f>
        <v>32</v>
      </c>
      <c r="G18" s="17">
        <f>Таблица1[[#This Row],[Количество]]*Таблица1[[#This Row],[Цена]]</f>
        <v>3200</v>
      </c>
      <c r="H18" s="15">
        <v>42795</v>
      </c>
      <c r="I18" s="16">
        <v>10</v>
      </c>
      <c r="J18" s="16">
        <f>IF(Таблица1[[#This Row],[Количество к возврату]] = "","0",Таблица1[[#This Row],[Цена]]*Таблица1[[#This Row],[Количество к возврату]])</f>
        <v>320</v>
      </c>
      <c r="K18" s="22">
        <f>Таблица1[[#This Row],[Стоимость]]-Таблица1[[#This Row],[Стоимость возврата]]</f>
        <v>2880</v>
      </c>
      <c r="L18" s="33">
        <f>Таблица1[[#This Row],[Количество]]-Таблица1[[#This Row],[Количество к возврату]]</f>
        <v>90</v>
      </c>
      <c r="M18" s="150">
        <f>WEEKDAY(Таблица1[[#This Row],[Дата]],2)</f>
        <v>5</v>
      </c>
    </row>
    <row r="19" spans="1:13" x14ac:dyDescent="0.25">
      <c r="A19" s="32">
        <v>42786</v>
      </c>
      <c r="B19" s="16" t="s">
        <v>20</v>
      </c>
      <c r="C19" s="16" t="s">
        <v>4</v>
      </c>
      <c r="D19" s="16" t="s">
        <v>61</v>
      </c>
      <c r="E19" s="16">
        <v>120</v>
      </c>
      <c r="F19" s="16">
        <f>VLOOKUP(Таблица1[[#This Row],[Наименование Товара]],'Информация о товаарах'!$A$2:$C$9,3,FALSE)</f>
        <v>110</v>
      </c>
      <c r="G19" s="17">
        <f>Таблица1[[#This Row],[Количество]]*Таблица1[[#This Row],[Цена]]</f>
        <v>13200</v>
      </c>
      <c r="H19" s="16"/>
      <c r="I19" s="16"/>
      <c r="J19" s="16" t="str">
        <f>IF(Таблица1[[#This Row],[Количество к возврату]] = "","0",Таблица1[[#This Row],[Цена]]*Таблица1[[#This Row],[Количество к возврату]])</f>
        <v>0</v>
      </c>
      <c r="K19" s="22">
        <f>Таблица1[[#This Row],[Стоимость]]-Таблица1[[#This Row],[Стоимость возврата]]</f>
        <v>13200</v>
      </c>
      <c r="L19" s="33">
        <f>Таблица1[[#This Row],[Количество]]-Таблица1[[#This Row],[Количество к возврату]]</f>
        <v>120</v>
      </c>
      <c r="M19" s="150">
        <f>WEEKDAY(Таблица1[[#This Row],[Дата]],2)</f>
        <v>1</v>
      </c>
    </row>
    <row r="20" spans="1:13" x14ac:dyDescent="0.25">
      <c r="A20" s="32">
        <v>42787</v>
      </c>
      <c r="B20" s="16" t="s">
        <v>18</v>
      </c>
      <c r="C20" s="16" t="s">
        <v>3</v>
      </c>
      <c r="D20" s="16" t="s">
        <v>62</v>
      </c>
      <c r="E20" s="16">
        <v>130</v>
      </c>
      <c r="F20" s="16">
        <f>VLOOKUP(Таблица1[[#This Row],[Наименование Товара]],'Информация о товаарах'!$A$2:$C$9,3,FALSE)</f>
        <v>136</v>
      </c>
      <c r="G20" s="17">
        <f>Таблица1[[#This Row],[Количество]]*Таблица1[[#This Row],[Цена]]</f>
        <v>17680</v>
      </c>
      <c r="H20" s="16"/>
      <c r="I20" s="16"/>
      <c r="J20" s="16" t="str">
        <f>IF(Таблица1[[#This Row],[Количество к возврату]] = "","0",Таблица1[[#This Row],[Цена]]*Таблица1[[#This Row],[Количество к возврату]])</f>
        <v>0</v>
      </c>
      <c r="K20" s="22">
        <f>Таблица1[[#This Row],[Стоимость]]-Таблица1[[#This Row],[Стоимость возврата]]</f>
        <v>17680</v>
      </c>
      <c r="L20" s="33">
        <f>Таблица1[[#This Row],[Количество]]-Таблица1[[#This Row],[Количество к возврату]]</f>
        <v>130</v>
      </c>
      <c r="M20" s="150">
        <f>WEEKDAY(Таблица1[[#This Row],[Дата]],2)</f>
        <v>2</v>
      </c>
    </row>
    <row r="21" spans="1:13" x14ac:dyDescent="0.25">
      <c r="A21" s="32">
        <v>42787</v>
      </c>
      <c r="B21" s="16" t="s">
        <v>17</v>
      </c>
      <c r="C21" s="16" t="s">
        <v>2</v>
      </c>
      <c r="D21" s="16" t="s">
        <v>7</v>
      </c>
      <c r="E21" s="16">
        <v>78</v>
      </c>
      <c r="F21" s="16">
        <f>VLOOKUP(Таблица1[[#This Row],[Наименование Товара]],'Информация о товаарах'!$A$2:$C$9,3,FALSE)</f>
        <v>25</v>
      </c>
      <c r="G21" s="17">
        <f>Таблица1[[#This Row],[Количество]]*Таблица1[[#This Row],[Цена]]</f>
        <v>1950</v>
      </c>
      <c r="H21" s="16"/>
      <c r="I21" s="16"/>
      <c r="J21" s="16" t="str">
        <f>IF(Таблица1[[#This Row],[Количество к возврату]] = "","0",Таблица1[[#This Row],[Цена]]*Таблица1[[#This Row],[Количество к возврату]])</f>
        <v>0</v>
      </c>
      <c r="K21" s="22">
        <f>Таблица1[[#This Row],[Стоимость]]-Таблица1[[#This Row],[Стоимость возврата]]</f>
        <v>1950</v>
      </c>
      <c r="L21" s="33">
        <f>Таблица1[[#This Row],[Количество]]-Таблица1[[#This Row],[Количество к возврату]]</f>
        <v>78</v>
      </c>
      <c r="M21" s="150">
        <f>WEEKDAY(Таблица1[[#This Row],[Дата]],2)</f>
        <v>2</v>
      </c>
    </row>
    <row r="22" spans="1:13" x14ac:dyDescent="0.25">
      <c r="A22" s="32">
        <v>42807</v>
      </c>
      <c r="B22" s="16" t="s">
        <v>16</v>
      </c>
      <c r="C22" s="16" t="s">
        <v>2</v>
      </c>
      <c r="D22" s="16" t="s">
        <v>9</v>
      </c>
      <c r="E22" s="16">
        <v>89</v>
      </c>
      <c r="F22" s="16">
        <f>VLOOKUP(Таблица1[[#This Row],[Наименование Товара]],'Информация о товаарах'!$A$2:$C$9,3,FALSE)</f>
        <v>32</v>
      </c>
      <c r="G22" s="17">
        <f>Таблица1[[#This Row],[Количество]]*Таблица1[[#This Row],[Цена]]</f>
        <v>2848</v>
      </c>
      <c r="H22" s="16"/>
      <c r="I22" s="16"/>
      <c r="J22" s="16" t="str">
        <f>IF(Таблица1[[#This Row],[Количество к возврату]] = "","0",Таблица1[[#This Row],[Цена]]*Таблица1[[#This Row],[Количество к возврату]])</f>
        <v>0</v>
      </c>
      <c r="K22" s="22">
        <f>Таблица1[[#This Row],[Стоимость]]-Таблица1[[#This Row],[Стоимость возврата]]</f>
        <v>2848</v>
      </c>
      <c r="L22" s="33">
        <f>Таблица1[[#This Row],[Количество]]-Таблица1[[#This Row],[Количество к возврату]]</f>
        <v>89</v>
      </c>
      <c r="M22" s="150">
        <f>WEEKDAY(Таблица1[[#This Row],[Дата]],2)</f>
        <v>1</v>
      </c>
    </row>
    <row r="23" spans="1:13" x14ac:dyDescent="0.25">
      <c r="A23" s="32">
        <v>42807</v>
      </c>
      <c r="B23" s="16" t="s">
        <v>20</v>
      </c>
      <c r="C23" s="16" t="s">
        <v>4</v>
      </c>
      <c r="D23" s="16" t="s">
        <v>26</v>
      </c>
      <c r="E23" s="16">
        <v>140</v>
      </c>
      <c r="F23" s="16">
        <f>VLOOKUP(Таблица1[[#This Row],[Наименование Товара]],'Информация о товаарах'!$A$2:$C$9,3,FALSE)</f>
        <v>54</v>
      </c>
      <c r="G23" s="17">
        <f>Таблица1[[#This Row],[Количество]]*Таблица1[[#This Row],[Цена]]</f>
        <v>7560</v>
      </c>
      <c r="H23" s="16"/>
      <c r="I23" s="16"/>
      <c r="J23" s="16" t="str">
        <f>IF(Таблица1[[#This Row],[Количество к возврату]] = "","0",Таблица1[[#This Row],[Цена]]*Таблица1[[#This Row],[Количество к возврату]])</f>
        <v>0</v>
      </c>
      <c r="K23" s="22">
        <f>Таблица1[[#This Row],[Стоимость]]-Таблица1[[#This Row],[Стоимость возврата]]</f>
        <v>7560</v>
      </c>
      <c r="L23" s="33">
        <f>Таблица1[[#This Row],[Количество]]-Таблица1[[#This Row],[Количество к возврату]]</f>
        <v>140</v>
      </c>
      <c r="M23" s="150">
        <f>WEEKDAY(Таблица1[[#This Row],[Дата]],2)</f>
        <v>1</v>
      </c>
    </row>
    <row r="24" spans="1:13" x14ac:dyDescent="0.25">
      <c r="A24" s="32">
        <v>42808</v>
      </c>
      <c r="B24" s="16" t="s">
        <v>18</v>
      </c>
      <c r="C24" s="16" t="s">
        <v>3</v>
      </c>
      <c r="D24" s="16" t="s">
        <v>28</v>
      </c>
      <c r="E24" s="16">
        <v>160</v>
      </c>
      <c r="F24" s="16">
        <f>VLOOKUP(Таблица1[[#This Row],[Наименование Товара]],'Информация о товаарах'!$A$2:$C$9,3,FALSE)</f>
        <v>87</v>
      </c>
      <c r="G24" s="17">
        <f>Таблица1[[#This Row],[Количество]]*Таблица1[[#This Row],[Цена]]</f>
        <v>13920</v>
      </c>
      <c r="H24" s="15">
        <v>42823</v>
      </c>
      <c r="I24" s="16">
        <v>60</v>
      </c>
      <c r="J24" s="16">
        <f>IF(Таблица1[[#This Row],[Количество к возврату]] = "","0",Таблица1[[#This Row],[Цена]]*Таблица1[[#This Row],[Количество к возврату]])</f>
        <v>5220</v>
      </c>
      <c r="K24" s="22">
        <f>Таблица1[[#This Row],[Стоимость]]-Таблица1[[#This Row],[Стоимость возврата]]</f>
        <v>8700</v>
      </c>
      <c r="L24" s="33">
        <f>Таблица1[[#This Row],[Количество]]-Таблица1[[#This Row],[Количество к возврату]]</f>
        <v>100</v>
      </c>
      <c r="M24" s="150">
        <f>WEEKDAY(Таблица1[[#This Row],[Дата]],2)</f>
        <v>2</v>
      </c>
    </row>
    <row r="25" spans="1:13" x14ac:dyDescent="0.25">
      <c r="A25" s="32">
        <v>42809</v>
      </c>
      <c r="B25" s="16" t="s">
        <v>19</v>
      </c>
      <c r="C25" s="16" t="s">
        <v>4</v>
      </c>
      <c r="D25" s="16" t="s">
        <v>61</v>
      </c>
      <c r="E25" s="16">
        <v>160</v>
      </c>
      <c r="F25" s="16">
        <f>VLOOKUP(Таблица1[[#This Row],[Наименование Товара]],'Информация о товаарах'!$A$2:$C$9,3,FALSE)</f>
        <v>110</v>
      </c>
      <c r="G25" s="17">
        <f>Таблица1[[#This Row],[Количество]]*Таблица1[[#This Row],[Цена]]</f>
        <v>17600</v>
      </c>
      <c r="H25" s="15">
        <v>42824</v>
      </c>
      <c r="I25" s="16">
        <v>40</v>
      </c>
      <c r="J25" s="16">
        <f>IF(Таблица1[[#This Row],[Количество к возврату]] = "","0",Таблица1[[#This Row],[Цена]]*Таблица1[[#This Row],[Количество к возврату]])</f>
        <v>4400</v>
      </c>
      <c r="K25" s="22">
        <f>Таблица1[[#This Row],[Стоимость]]-Таблица1[[#This Row],[Стоимость возврата]]</f>
        <v>13200</v>
      </c>
      <c r="L25" s="33">
        <f>Таблица1[[#This Row],[Количество]]-Таблица1[[#This Row],[Количество к возврату]]</f>
        <v>120</v>
      </c>
      <c r="M25" s="150">
        <f>WEEKDAY(Таблица1[[#This Row],[Дата]],2)</f>
        <v>3</v>
      </c>
    </row>
    <row r="26" spans="1:13" x14ac:dyDescent="0.25">
      <c r="A26" s="32">
        <v>42810</v>
      </c>
      <c r="B26" s="16" t="s">
        <v>16</v>
      </c>
      <c r="C26" s="16" t="s">
        <v>4</v>
      </c>
      <c r="D26" s="16" t="s">
        <v>10</v>
      </c>
      <c r="E26" s="16">
        <v>56</v>
      </c>
      <c r="F26" s="16">
        <f>VLOOKUP(Таблица1[[#This Row],[Наименование Товара]],'Информация о товаарах'!$A$2:$C$9,3,FALSE)</f>
        <v>45</v>
      </c>
      <c r="G26" s="17">
        <f>Таблица1[[#This Row],[Количество]]*Таблица1[[#This Row],[Цена]]</f>
        <v>2520</v>
      </c>
      <c r="H26" s="16"/>
      <c r="I26" s="16"/>
      <c r="J26" s="16" t="str">
        <f>IF(Таблица1[[#This Row],[Количество к возврату]] = "","0",Таблица1[[#This Row],[Цена]]*Таблица1[[#This Row],[Количество к возврату]])</f>
        <v>0</v>
      </c>
      <c r="K26" s="22">
        <f>Таблица1[[#This Row],[Стоимость]]-Таблица1[[#This Row],[Стоимость возврата]]</f>
        <v>2520</v>
      </c>
      <c r="L26" s="33">
        <f>Таблица1[[#This Row],[Количество]]-Таблица1[[#This Row],[Количество к возврату]]</f>
        <v>56</v>
      </c>
      <c r="M26" s="150">
        <f>WEEKDAY(Таблица1[[#This Row],[Дата]],2)</f>
        <v>4</v>
      </c>
    </row>
    <row r="27" spans="1:13" x14ac:dyDescent="0.25">
      <c r="A27" s="32">
        <v>42811</v>
      </c>
      <c r="B27" s="16" t="s">
        <v>19</v>
      </c>
      <c r="C27" s="16" t="s">
        <v>3</v>
      </c>
      <c r="D27" s="16" t="s">
        <v>10</v>
      </c>
      <c r="E27" s="16">
        <v>120</v>
      </c>
      <c r="F27" s="16">
        <f>VLOOKUP(Таблица1[[#This Row],[Наименование Товара]],'Информация о товаарах'!$A$2:$C$9,3,FALSE)</f>
        <v>45</v>
      </c>
      <c r="G27" s="17">
        <f>Таблица1[[#This Row],[Количество]]*Таблица1[[#This Row],[Цена]]</f>
        <v>5400</v>
      </c>
      <c r="H27" s="16"/>
      <c r="I27" s="16"/>
      <c r="J27" s="16" t="str">
        <f>IF(Таблица1[[#This Row],[Количество к возврату]] = "","0",Таблица1[[#This Row],[Цена]]*Таблица1[[#This Row],[Количество к возврату]])</f>
        <v>0</v>
      </c>
      <c r="K27" s="22">
        <f>Таблица1[[#This Row],[Стоимость]]-Таблица1[[#This Row],[Стоимость возврата]]</f>
        <v>5400</v>
      </c>
      <c r="L27" s="33">
        <f>Таблица1[[#This Row],[Количество]]-Таблица1[[#This Row],[Количество к возврату]]</f>
        <v>120</v>
      </c>
      <c r="M27" s="150">
        <f>WEEKDAY(Таблица1[[#This Row],[Дата]],2)</f>
        <v>5</v>
      </c>
    </row>
    <row r="28" spans="1:13" x14ac:dyDescent="0.25">
      <c r="A28" s="32">
        <v>42811</v>
      </c>
      <c r="B28" s="16" t="s">
        <v>18</v>
      </c>
      <c r="C28" s="16" t="s">
        <v>2</v>
      </c>
      <c r="D28" s="16" t="s">
        <v>9</v>
      </c>
      <c r="E28" s="16">
        <v>80</v>
      </c>
      <c r="F28" s="16">
        <f>VLOOKUP(Таблица1[[#This Row],[Наименование Товара]],'Информация о товаарах'!$A$2:$C$9,3,FALSE)</f>
        <v>32</v>
      </c>
      <c r="G28" s="17">
        <f>Таблица1[[#This Row],[Количество]]*Таблица1[[#This Row],[Цена]]</f>
        <v>2560</v>
      </c>
      <c r="H28" s="15">
        <v>42814</v>
      </c>
      <c r="I28" s="16">
        <v>10</v>
      </c>
      <c r="J28" s="16">
        <f>IF(Таблица1[[#This Row],[Количество к возврату]] = "","0",Таблица1[[#This Row],[Цена]]*Таблица1[[#This Row],[Количество к возврату]])</f>
        <v>320</v>
      </c>
      <c r="K28" s="22">
        <f>Таблица1[[#This Row],[Стоимость]]-Таблица1[[#This Row],[Стоимость возврата]]</f>
        <v>2240</v>
      </c>
      <c r="L28" s="33">
        <f>Таблица1[[#This Row],[Количество]]-Таблица1[[#This Row],[Количество к возврату]]</f>
        <v>70</v>
      </c>
      <c r="M28" s="150">
        <f>WEEKDAY(Таблица1[[#This Row],[Дата]],2)</f>
        <v>5</v>
      </c>
    </row>
    <row r="29" spans="1:13" x14ac:dyDescent="0.25">
      <c r="A29" s="32">
        <v>42811</v>
      </c>
      <c r="B29" s="16" t="s">
        <v>17</v>
      </c>
      <c r="C29" s="16" t="s">
        <v>2</v>
      </c>
      <c r="D29" s="16" t="s">
        <v>9</v>
      </c>
      <c r="E29" s="16">
        <v>70</v>
      </c>
      <c r="F29" s="16">
        <f>VLOOKUP(Таблица1[[#This Row],[Наименование Товара]],'Информация о товаарах'!$A$2:$C$9,3,FALSE)</f>
        <v>32</v>
      </c>
      <c r="G29" s="17">
        <f>Таблица1[[#This Row],[Количество]]*Таблица1[[#This Row],[Цена]]</f>
        <v>2240</v>
      </c>
      <c r="H29" s="16"/>
      <c r="I29" s="16"/>
      <c r="J29" s="16" t="str">
        <f>IF(Таблица1[[#This Row],[Количество к возврату]] = "","0",Таблица1[[#This Row],[Цена]]*Таблица1[[#This Row],[Количество к возврату]])</f>
        <v>0</v>
      </c>
      <c r="K29" s="22">
        <f>Таблица1[[#This Row],[Стоимость]]-Таблица1[[#This Row],[Стоимость возврата]]</f>
        <v>2240</v>
      </c>
      <c r="L29" s="33">
        <f>Таблица1[[#This Row],[Количество]]-Таблица1[[#This Row],[Количество к возврату]]</f>
        <v>70</v>
      </c>
      <c r="M29" s="150">
        <f>WEEKDAY(Таблица1[[#This Row],[Дата]],2)</f>
        <v>5</v>
      </c>
    </row>
    <row r="30" spans="1:13" x14ac:dyDescent="0.25">
      <c r="A30" s="32">
        <v>42812</v>
      </c>
      <c r="B30" s="16" t="s">
        <v>17</v>
      </c>
      <c r="C30" s="16" t="s">
        <v>4</v>
      </c>
      <c r="D30" s="16" t="s">
        <v>9</v>
      </c>
      <c r="E30" s="16">
        <v>60</v>
      </c>
      <c r="F30" s="16">
        <f>VLOOKUP(Таблица1[[#This Row],[Наименование Товара]],'Информация о товаарах'!$A$2:$C$9,3,FALSE)</f>
        <v>32</v>
      </c>
      <c r="G30" s="17">
        <f>Таблица1[[#This Row],[Количество]]*Таблица1[[#This Row],[Цена]]</f>
        <v>1920</v>
      </c>
      <c r="H30" s="16"/>
      <c r="I30" s="16"/>
      <c r="J30" s="16" t="str">
        <f>IF(Таблица1[[#This Row],[Количество к возврату]] = "","0",Таблица1[[#This Row],[Цена]]*Таблица1[[#This Row],[Количество к возврату]])</f>
        <v>0</v>
      </c>
      <c r="K30" s="22">
        <f>Таблица1[[#This Row],[Стоимость]]-Таблица1[[#This Row],[Стоимость возврата]]</f>
        <v>1920</v>
      </c>
      <c r="L30" s="33">
        <f>Таблица1[[#This Row],[Количество]]-Таблица1[[#This Row],[Количество к возврату]]</f>
        <v>60</v>
      </c>
      <c r="M30" s="150">
        <f>WEEKDAY(Таблица1[[#This Row],[Дата]],2)</f>
        <v>6</v>
      </c>
    </row>
    <row r="31" spans="1:13" x14ac:dyDescent="0.25">
      <c r="A31" s="32">
        <v>42814</v>
      </c>
      <c r="B31" s="16" t="s">
        <v>17</v>
      </c>
      <c r="C31" s="16" t="s">
        <v>3</v>
      </c>
      <c r="D31" s="16" t="s">
        <v>26</v>
      </c>
      <c r="E31" s="16">
        <v>150</v>
      </c>
      <c r="F31" s="16">
        <f>VLOOKUP(Таблица1[[#This Row],[Наименование Товара]],'Информация о товаарах'!$A$2:$C$9,3,FALSE)</f>
        <v>54</v>
      </c>
      <c r="G31" s="17">
        <f>Таблица1[[#This Row],[Количество]]*Таблица1[[#This Row],[Цена]]</f>
        <v>8100</v>
      </c>
      <c r="H31" s="15">
        <v>42826</v>
      </c>
      <c r="I31" s="16">
        <v>50</v>
      </c>
      <c r="J31" s="16">
        <f>IF(Таблица1[[#This Row],[Количество к возврату]] = "","0",Таблица1[[#This Row],[Цена]]*Таблица1[[#This Row],[Количество к возврату]])</f>
        <v>2700</v>
      </c>
      <c r="K31" s="22">
        <f>Таблица1[[#This Row],[Стоимость]]-Таблица1[[#This Row],[Стоимость возврата]]</f>
        <v>5400</v>
      </c>
      <c r="L31" s="33">
        <f>Таблица1[[#This Row],[Количество]]-Таблица1[[#This Row],[Количество к возврату]]</f>
        <v>100</v>
      </c>
      <c r="M31" s="150">
        <f>WEEKDAY(Таблица1[[#This Row],[Дата]],2)</f>
        <v>1</v>
      </c>
    </row>
    <row r="32" spans="1:13" x14ac:dyDescent="0.25">
      <c r="A32" s="32">
        <v>42814</v>
      </c>
      <c r="B32" s="16" t="s">
        <v>20</v>
      </c>
      <c r="C32" s="16" t="s">
        <v>3</v>
      </c>
      <c r="D32" s="16" t="s">
        <v>28</v>
      </c>
      <c r="E32" s="16">
        <v>166</v>
      </c>
      <c r="F32" s="16">
        <f>VLOOKUP(Таблица1[[#This Row],[Наименование Товара]],'Информация о товаарах'!$A$2:$C$9,3,FALSE)</f>
        <v>87</v>
      </c>
      <c r="G32" s="17">
        <f>Таблица1[[#This Row],[Количество]]*Таблица1[[#This Row],[Цена]]</f>
        <v>14442</v>
      </c>
      <c r="H32" s="16"/>
      <c r="I32" s="16"/>
      <c r="J32" s="16" t="str">
        <f>IF(Таблица1[[#This Row],[Количество к возврату]] = "","0",Таблица1[[#This Row],[Цена]]*Таблица1[[#This Row],[Количество к возврату]])</f>
        <v>0</v>
      </c>
      <c r="K32" s="22">
        <f>Таблица1[[#This Row],[Стоимость]]-Таблица1[[#This Row],[Стоимость возврата]]</f>
        <v>14442</v>
      </c>
      <c r="L32" s="33">
        <f>Таблица1[[#This Row],[Количество]]-Таблица1[[#This Row],[Количество к возврату]]</f>
        <v>166</v>
      </c>
      <c r="M32" s="150">
        <f>WEEKDAY(Таблица1[[#This Row],[Дата]],2)</f>
        <v>1</v>
      </c>
    </row>
    <row r="33" spans="1:13" x14ac:dyDescent="0.25">
      <c r="A33" s="32">
        <v>42815</v>
      </c>
      <c r="B33" s="16" t="s">
        <v>16</v>
      </c>
      <c r="C33" s="16" t="s">
        <v>4</v>
      </c>
      <c r="D33" s="16" t="s">
        <v>28</v>
      </c>
      <c r="E33" s="16">
        <v>120</v>
      </c>
      <c r="F33" s="16">
        <f>VLOOKUP(Таблица1[[#This Row],[Наименование Товара]],'Информация о товаарах'!$A$2:$C$9,3,FALSE)</f>
        <v>87</v>
      </c>
      <c r="G33" s="17">
        <f>Таблица1[[#This Row],[Количество]]*Таблица1[[#This Row],[Цена]]</f>
        <v>10440</v>
      </c>
      <c r="H33" s="16"/>
      <c r="I33" s="16"/>
      <c r="J33" s="16" t="str">
        <f>IF(Таблица1[[#This Row],[Количество к возврату]] = "","0",Таблица1[[#This Row],[Цена]]*Таблица1[[#This Row],[Количество к возврату]])</f>
        <v>0</v>
      </c>
      <c r="K33" s="22">
        <f>Таблица1[[#This Row],[Стоимость]]-Таблица1[[#This Row],[Стоимость возврата]]</f>
        <v>10440</v>
      </c>
      <c r="L33" s="33">
        <f>Таблица1[[#This Row],[Количество]]-Таблица1[[#This Row],[Количество к возврату]]</f>
        <v>120</v>
      </c>
      <c r="M33" s="150">
        <f>WEEKDAY(Таблица1[[#This Row],[Дата]],2)</f>
        <v>2</v>
      </c>
    </row>
    <row r="34" spans="1:13" x14ac:dyDescent="0.25">
      <c r="A34" s="32">
        <v>42817</v>
      </c>
      <c r="B34" s="16" t="s">
        <v>17</v>
      </c>
      <c r="C34" s="16" t="s">
        <v>3</v>
      </c>
      <c r="D34" s="16" t="s">
        <v>61</v>
      </c>
      <c r="E34" s="16">
        <v>190</v>
      </c>
      <c r="F34" s="16">
        <f>VLOOKUP(Таблица1[[#This Row],[Наименование Товара]],'Информация о товаарах'!$A$2:$C$9,3,FALSE)</f>
        <v>110</v>
      </c>
      <c r="G34" s="17">
        <f>Таблица1[[#This Row],[Количество]]*Таблица1[[#This Row],[Цена]]</f>
        <v>20900</v>
      </c>
      <c r="H34" s="16"/>
      <c r="I34" s="16"/>
      <c r="J34" s="16" t="str">
        <f>IF(Таблица1[[#This Row],[Количество к возврату]] = "","0",Таблица1[[#This Row],[Цена]]*Таблица1[[#This Row],[Количество к возврату]])</f>
        <v>0</v>
      </c>
      <c r="K34" s="22">
        <f>Таблица1[[#This Row],[Стоимость]]-Таблица1[[#This Row],[Стоимость возврата]]</f>
        <v>20900</v>
      </c>
      <c r="L34" s="33">
        <f>Таблица1[[#This Row],[Количество]]-Таблица1[[#This Row],[Количество к возврату]]</f>
        <v>190</v>
      </c>
      <c r="M34" s="150">
        <f>WEEKDAY(Таблица1[[#This Row],[Дата]],2)</f>
        <v>4</v>
      </c>
    </row>
    <row r="35" spans="1:13" x14ac:dyDescent="0.25">
      <c r="A35" s="32">
        <v>42818</v>
      </c>
      <c r="B35" s="16" t="s">
        <v>20</v>
      </c>
      <c r="C35" s="16" t="s">
        <v>4</v>
      </c>
      <c r="D35" s="16" t="s">
        <v>61</v>
      </c>
      <c r="E35" s="16">
        <v>210</v>
      </c>
      <c r="F35" s="16">
        <f>VLOOKUP(Таблица1[[#This Row],[Наименование Товара]],'Информация о товаарах'!$A$2:$C$9,3,FALSE)</f>
        <v>110</v>
      </c>
      <c r="G35" s="17">
        <f>Таблица1[[#This Row],[Количество]]*Таблица1[[#This Row],[Цена]]</f>
        <v>23100</v>
      </c>
      <c r="H35" s="15">
        <v>42827</v>
      </c>
      <c r="I35" s="16">
        <v>30</v>
      </c>
      <c r="J35" s="16">
        <f>IF(Таблица1[[#This Row],[Количество к возврату]] = "","0",Таблица1[[#This Row],[Цена]]*Таблица1[[#This Row],[Количество к возврату]])</f>
        <v>3300</v>
      </c>
      <c r="K35" s="22">
        <f>Таблица1[[#This Row],[Стоимость]]-Таблица1[[#This Row],[Стоимость возврата]]</f>
        <v>19800</v>
      </c>
      <c r="L35" s="33">
        <f>Таблица1[[#This Row],[Количество]]-Таблица1[[#This Row],[Количество к возврату]]</f>
        <v>180</v>
      </c>
      <c r="M35" s="150">
        <f>WEEKDAY(Таблица1[[#This Row],[Дата]],2)</f>
        <v>5</v>
      </c>
    </row>
    <row r="36" spans="1:13" x14ac:dyDescent="0.25">
      <c r="A36" s="32">
        <v>42821</v>
      </c>
      <c r="B36" s="16" t="s">
        <v>18</v>
      </c>
      <c r="C36" s="16" t="s">
        <v>4</v>
      </c>
      <c r="D36" s="16" t="s">
        <v>7</v>
      </c>
      <c r="E36" s="16">
        <v>160</v>
      </c>
      <c r="F36" s="16">
        <f>VLOOKUP(Таблица1[[#This Row],[Наименование Товара]],'Информация о товаарах'!$A$2:$C$9,3,FALSE)</f>
        <v>25</v>
      </c>
      <c r="G36" s="17">
        <f>Таблица1[[#This Row],[Количество]]*Таблица1[[#This Row],[Цена]]</f>
        <v>4000</v>
      </c>
      <c r="H36" s="16"/>
      <c r="I36" s="16"/>
      <c r="J36" s="16" t="str">
        <f>IF(Таблица1[[#This Row],[Количество к возврату]] = "","0",Таблица1[[#This Row],[Цена]]*Таблица1[[#This Row],[Количество к возврату]])</f>
        <v>0</v>
      </c>
      <c r="K36" s="22">
        <f>Таблица1[[#This Row],[Стоимость]]-Таблица1[[#This Row],[Стоимость возврата]]</f>
        <v>4000</v>
      </c>
      <c r="L36" s="33">
        <f>Таблица1[[#This Row],[Количество]]-Таблица1[[#This Row],[Количество к возврату]]</f>
        <v>160</v>
      </c>
      <c r="M36" s="150">
        <f>WEEKDAY(Таблица1[[#This Row],[Дата]],2)</f>
        <v>1</v>
      </c>
    </row>
    <row r="37" spans="1:13" x14ac:dyDescent="0.25">
      <c r="A37" s="32">
        <v>42838</v>
      </c>
      <c r="B37" s="16" t="s">
        <v>19</v>
      </c>
      <c r="C37" s="16" t="s">
        <v>4</v>
      </c>
      <c r="D37" s="16" t="s">
        <v>28</v>
      </c>
      <c r="E37" s="16">
        <v>120</v>
      </c>
      <c r="F37" s="16">
        <f>VLOOKUP(Таблица1[[#This Row],[Наименование Товара]],'Информация о товаарах'!$A$2:$C$9,3,FALSE)</f>
        <v>87</v>
      </c>
      <c r="G37" s="17">
        <f>Таблица1[[#This Row],[Количество]]*Таблица1[[#This Row],[Цена]]</f>
        <v>10440</v>
      </c>
      <c r="H37" s="16"/>
      <c r="I37" s="16"/>
      <c r="J37" s="16" t="str">
        <f>IF(Таблица1[[#This Row],[Количество к возврату]] = "","0",Таблица1[[#This Row],[Цена]]*Таблица1[[#This Row],[Количество к возврату]])</f>
        <v>0</v>
      </c>
      <c r="K37" s="22">
        <f>Таблица1[[#This Row],[Стоимость]]-Таблица1[[#This Row],[Стоимость возврата]]</f>
        <v>10440</v>
      </c>
      <c r="L37" s="33">
        <f>Таблица1[[#This Row],[Количество]]-Таблица1[[#This Row],[Количество к возврату]]</f>
        <v>120</v>
      </c>
      <c r="M37" s="150">
        <f>WEEKDAY(Таблица1[[#This Row],[Дата]],2)</f>
        <v>4</v>
      </c>
    </row>
    <row r="38" spans="1:13" x14ac:dyDescent="0.25">
      <c r="A38" s="32">
        <v>42839</v>
      </c>
      <c r="B38" s="16" t="s">
        <v>18</v>
      </c>
      <c r="C38" s="16" t="s">
        <v>3</v>
      </c>
      <c r="D38" s="16" t="s">
        <v>7</v>
      </c>
      <c r="E38" s="16">
        <v>135</v>
      </c>
      <c r="F38" s="16">
        <f>VLOOKUP(Таблица1[[#This Row],[Наименование Товара]],'Информация о товаарах'!$A$2:$C$9,3,FALSE)</f>
        <v>25</v>
      </c>
      <c r="G38" s="17">
        <f>Таблица1[[#This Row],[Количество]]*Таблица1[[#This Row],[Цена]]</f>
        <v>3375</v>
      </c>
      <c r="H38" s="15">
        <v>42848</v>
      </c>
      <c r="I38" s="16">
        <v>48</v>
      </c>
      <c r="J38" s="16">
        <f>IF(Таблица1[[#This Row],[Количество к возврату]] = "","0",Таблица1[[#This Row],[Цена]]*Таблица1[[#This Row],[Количество к возврату]])</f>
        <v>1200</v>
      </c>
      <c r="K38" s="22">
        <f>Таблица1[[#This Row],[Стоимость]]-Таблица1[[#This Row],[Стоимость возврата]]</f>
        <v>2175</v>
      </c>
      <c r="L38" s="33">
        <f>Таблица1[[#This Row],[Количество]]-Таблица1[[#This Row],[Количество к возврату]]</f>
        <v>87</v>
      </c>
      <c r="M38" s="150">
        <f>WEEKDAY(Таблица1[[#This Row],[Дата]],2)</f>
        <v>5</v>
      </c>
    </row>
    <row r="39" spans="1:13" x14ac:dyDescent="0.25">
      <c r="A39" s="32">
        <v>42839</v>
      </c>
      <c r="B39" s="16" t="s">
        <v>17</v>
      </c>
      <c r="C39" s="16" t="s">
        <v>2</v>
      </c>
      <c r="D39" s="16" t="s">
        <v>7</v>
      </c>
      <c r="E39" s="16">
        <v>80</v>
      </c>
      <c r="F39" s="16">
        <f>VLOOKUP(Таблица1[[#This Row],[Наименование Товара]],'Информация о товаарах'!$A$2:$C$9,3,FALSE)</f>
        <v>25</v>
      </c>
      <c r="G39" s="17">
        <f>Таблица1[[#This Row],[Количество]]*Таблица1[[#This Row],[Цена]]</f>
        <v>2000</v>
      </c>
      <c r="H39" s="16"/>
      <c r="I39" s="16"/>
      <c r="J39" s="16" t="str">
        <f>IF(Таблица1[[#This Row],[Количество к возврату]] = "","0",Таблица1[[#This Row],[Цена]]*Таблица1[[#This Row],[Количество к возврату]])</f>
        <v>0</v>
      </c>
      <c r="K39" s="22">
        <f>Таблица1[[#This Row],[Стоимость]]-Таблица1[[#This Row],[Стоимость возврата]]</f>
        <v>2000</v>
      </c>
      <c r="L39" s="33">
        <f>Таблица1[[#This Row],[Количество]]-Таблица1[[#This Row],[Количество к возврату]]</f>
        <v>80</v>
      </c>
      <c r="M39" s="150">
        <f>WEEKDAY(Таблица1[[#This Row],[Дата]],2)</f>
        <v>5</v>
      </c>
    </row>
    <row r="40" spans="1:13" x14ac:dyDescent="0.25">
      <c r="A40" s="32">
        <v>42843</v>
      </c>
      <c r="B40" s="16" t="s">
        <v>16</v>
      </c>
      <c r="C40" s="16" t="s">
        <v>2</v>
      </c>
      <c r="D40" s="16" t="s">
        <v>61</v>
      </c>
      <c r="E40" s="16">
        <v>80</v>
      </c>
      <c r="F40" s="16">
        <f>VLOOKUP(Таблица1[[#This Row],[Наименование Товара]],'Информация о товаарах'!$A$2:$C$9,3,FALSE)</f>
        <v>110</v>
      </c>
      <c r="G40" s="17">
        <f>Таблица1[[#This Row],[Количество]]*Таблица1[[#This Row],[Цена]]</f>
        <v>8800</v>
      </c>
      <c r="H40" s="15">
        <v>42847</v>
      </c>
      <c r="I40" s="16">
        <v>20</v>
      </c>
      <c r="J40" s="16">
        <f>IF(Таблица1[[#This Row],[Количество к возврату]] = "","0",Таблица1[[#This Row],[Цена]]*Таблица1[[#This Row],[Количество к возврату]])</f>
        <v>2200</v>
      </c>
      <c r="K40" s="22">
        <f>Таблица1[[#This Row],[Стоимость]]-Таблица1[[#This Row],[Стоимость возврата]]</f>
        <v>6600</v>
      </c>
      <c r="L40" s="33">
        <f>Таблица1[[#This Row],[Количество]]-Таблица1[[#This Row],[Количество к возврату]]</f>
        <v>60</v>
      </c>
      <c r="M40" s="150">
        <f>WEEKDAY(Таблица1[[#This Row],[Дата]],2)</f>
        <v>2</v>
      </c>
    </row>
    <row r="41" spans="1:13" x14ac:dyDescent="0.25">
      <c r="A41" s="32">
        <v>42842</v>
      </c>
      <c r="B41" s="16" t="s">
        <v>17</v>
      </c>
      <c r="C41" s="16" t="s">
        <v>4</v>
      </c>
      <c r="D41" s="16" t="s">
        <v>9</v>
      </c>
      <c r="E41" s="16">
        <v>150</v>
      </c>
      <c r="F41" s="16">
        <f>VLOOKUP(Таблица1[[#This Row],[Наименование Товара]],'Информация о товаарах'!$A$2:$C$9,3,FALSE)</f>
        <v>32</v>
      </c>
      <c r="G41" s="17">
        <f>Таблица1[[#This Row],[Количество]]*Таблица1[[#This Row],[Цена]]</f>
        <v>4800</v>
      </c>
      <c r="H41" s="16"/>
      <c r="I41" s="16"/>
      <c r="J41" s="16" t="str">
        <f>IF(Таблица1[[#This Row],[Количество к возврату]] = "","0",Таблица1[[#This Row],[Цена]]*Таблица1[[#This Row],[Количество к возврату]])</f>
        <v>0</v>
      </c>
      <c r="K41" s="22">
        <f>Таблица1[[#This Row],[Стоимость]]-Таблица1[[#This Row],[Стоимость возврата]]</f>
        <v>4800</v>
      </c>
      <c r="L41" s="33">
        <f>Таблица1[[#This Row],[Количество]]-Таблица1[[#This Row],[Количество к возврату]]</f>
        <v>150</v>
      </c>
      <c r="M41" s="150">
        <f>WEEKDAY(Таблица1[[#This Row],[Дата]],2)</f>
        <v>1</v>
      </c>
    </row>
    <row r="42" spans="1:13" x14ac:dyDescent="0.25">
      <c r="A42" s="32">
        <v>42842</v>
      </c>
      <c r="B42" s="16" t="s">
        <v>20</v>
      </c>
      <c r="C42" s="16" t="s">
        <v>3</v>
      </c>
      <c r="D42" s="16" t="s">
        <v>10</v>
      </c>
      <c r="E42" s="16">
        <v>213</v>
      </c>
      <c r="F42" s="16">
        <f>VLOOKUP(Таблица1[[#This Row],[Наименование Товара]],'Информация о товаарах'!$A$2:$C$9,3,FALSE)</f>
        <v>45</v>
      </c>
      <c r="G42" s="17">
        <f>Таблица1[[#This Row],[Количество]]*Таблица1[[#This Row],[Цена]]</f>
        <v>9585</v>
      </c>
      <c r="H42" s="16"/>
      <c r="I42" s="16"/>
      <c r="J42" s="16" t="str">
        <f>IF(Таблица1[[#This Row],[Количество к возврату]] = "","0",Таблица1[[#This Row],[Цена]]*Таблица1[[#This Row],[Количество к возврату]])</f>
        <v>0</v>
      </c>
      <c r="K42" s="22">
        <f>Таблица1[[#This Row],[Стоимость]]-Таблица1[[#This Row],[Стоимость возврата]]</f>
        <v>9585</v>
      </c>
      <c r="L42" s="33">
        <f>Таблица1[[#This Row],[Количество]]-Таблица1[[#This Row],[Количество к возврату]]</f>
        <v>213</v>
      </c>
      <c r="M42" s="150">
        <f>WEEKDAY(Таблица1[[#This Row],[Дата]],2)</f>
        <v>1</v>
      </c>
    </row>
    <row r="43" spans="1:13" x14ac:dyDescent="0.25">
      <c r="A43" s="32">
        <v>42842</v>
      </c>
      <c r="B43" s="16" t="s">
        <v>16</v>
      </c>
      <c r="C43" s="16" t="s">
        <v>3</v>
      </c>
      <c r="D43" s="16" t="s">
        <v>27</v>
      </c>
      <c r="E43" s="16">
        <v>210</v>
      </c>
      <c r="F43" s="16">
        <f>VLOOKUP(Таблица1[[#This Row],[Наименование Товара]],'Информация о товаарах'!$A$2:$C$9,3,FALSE)</f>
        <v>65</v>
      </c>
      <c r="G43" s="17">
        <f>Таблица1[[#This Row],[Количество]]*Таблица1[[#This Row],[Цена]]</f>
        <v>13650</v>
      </c>
      <c r="H43" s="15">
        <v>42850</v>
      </c>
      <c r="I43" s="16">
        <v>40</v>
      </c>
      <c r="J43" s="16">
        <f>IF(Таблица1[[#This Row],[Количество к возврату]] = "","0",Таблица1[[#This Row],[Цена]]*Таблица1[[#This Row],[Количество к возврату]])</f>
        <v>2600</v>
      </c>
      <c r="K43" s="22">
        <f>Таблица1[[#This Row],[Стоимость]]-Таблица1[[#This Row],[Стоимость возврата]]</f>
        <v>11050</v>
      </c>
      <c r="L43" s="33">
        <f>Таблица1[[#This Row],[Количество]]-Таблица1[[#This Row],[Количество к возврату]]</f>
        <v>170</v>
      </c>
      <c r="M43" s="150">
        <f>WEEKDAY(Таблица1[[#This Row],[Дата]],2)</f>
        <v>1</v>
      </c>
    </row>
    <row r="44" spans="1:13" x14ac:dyDescent="0.25">
      <c r="A44" s="32">
        <v>42843</v>
      </c>
      <c r="B44" s="16" t="s">
        <v>16</v>
      </c>
      <c r="C44" s="16" t="s">
        <v>3</v>
      </c>
      <c r="D44" s="16" t="s">
        <v>61</v>
      </c>
      <c r="E44" s="16">
        <v>120</v>
      </c>
      <c r="F44" s="16">
        <f>VLOOKUP(Таблица1[[#This Row],[Наименование Товара]],'Информация о товаарах'!$A$2:$C$9,3,FALSE)</f>
        <v>110</v>
      </c>
      <c r="G44" s="17">
        <f>Таблица1[[#This Row],[Количество]]*Таблица1[[#This Row],[Цена]]</f>
        <v>13200</v>
      </c>
      <c r="H44" s="16"/>
      <c r="I44" s="16"/>
      <c r="J44" s="16" t="str">
        <f>IF(Таблица1[[#This Row],[Количество к возврату]] = "","0",Таблица1[[#This Row],[Цена]]*Таблица1[[#This Row],[Количество к возврату]])</f>
        <v>0</v>
      </c>
      <c r="K44" s="22">
        <f>Таблица1[[#This Row],[Стоимость]]-Таблица1[[#This Row],[Стоимость возврата]]</f>
        <v>13200</v>
      </c>
      <c r="L44" s="33">
        <f>Таблица1[[#This Row],[Количество]]-Таблица1[[#This Row],[Количество к возврату]]</f>
        <v>120</v>
      </c>
      <c r="M44" s="150">
        <f>WEEKDAY(Таблица1[[#This Row],[Дата]],2)</f>
        <v>2</v>
      </c>
    </row>
    <row r="45" spans="1:13" x14ac:dyDescent="0.25">
      <c r="A45" s="32">
        <v>42844</v>
      </c>
      <c r="B45" s="16" t="s">
        <v>17</v>
      </c>
      <c r="C45" s="16" t="s">
        <v>2</v>
      </c>
      <c r="D45" s="16" t="s">
        <v>27</v>
      </c>
      <c r="E45" s="16">
        <v>100</v>
      </c>
      <c r="F45" s="16">
        <f>VLOOKUP(Таблица1[[#This Row],[Наименование Товара]],'Информация о товаарах'!$A$2:$C$9,3,FALSE)</f>
        <v>65</v>
      </c>
      <c r="G45" s="17">
        <f>Таблица1[[#This Row],[Количество]]*Таблица1[[#This Row],[Цена]]</f>
        <v>6500</v>
      </c>
      <c r="H45" s="16"/>
      <c r="I45" s="16"/>
      <c r="J45" s="16" t="str">
        <f>IF(Таблица1[[#This Row],[Количество к возврату]] = "","0",Таблица1[[#This Row],[Цена]]*Таблица1[[#This Row],[Количество к возврату]])</f>
        <v>0</v>
      </c>
      <c r="K45" s="22">
        <f>Таблица1[[#This Row],[Стоимость]]-Таблица1[[#This Row],[Стоимость возврата]]</f>
        <v>6500</v>
      </c>
      <c r="L45" s="33">
        <f>Таблица1[[#This Row],[Количество]]-Таблица1[[#This Row],[Количество к возврату]]</f>
        <v>100</v>
      </c>
      <c r="M45" s="150">
        <f>WEEKDAY(Таблица1[[#This Row],[Дата]],2)</f>
        <v>3</v>
      </c>
    </row>
    <row r="46" spans="1:13" x14ac:dyDescent="0.25">
      <c r="A46" s="32">
        <v>42845</v>
      </c>
      <c r="B46" s="16" t="s">
        <v>17</v>
      </c>
      <c r="C46" s="16" t="s">
        <v>4</v>
      </c>
      <c r="D46" s="16" t="s">
        <v>61</v>
      </c>
      <c r="E46" s="16">
        <v>90</v>
      </c>
      <c r="F46" s="16">
        <f>VLOOKUP(Таблица1[[#This Row],[Наименование Товара]],'Информация о товаарах'!$A$2:$C$9,3,FALSE)</f>
        <v>110</v>
      </c>
      <c r="G46" s="17">
        <f>Таблица1[[#This Row],[Количество]]*Таблица1[[#This Row],[Цена]]</f>
        <v>9900</v>
      </c>
      <c r="H46" s="16"/>
      <c r="I46" s="16"/>
      <c r="J46" s="16" t="str">
        <f>IF(Таблица1[[#This Row],[Количество к возврату]] = "","0",Таблица1[[#This Row],[Цена]]*Таблица1[[#This Row],[Количество к возврату]])</f>
        <v>0</v>
      </c>
      <c r="K46" s="22">
        <f>Таблица1[[#This Row],[Стоимость]]-Таблица1[[#This Row],[Стоимость возврата]]</f>
        <v>9900</v>
      </c>
      <c r="L46" s="33">
        <f>Таблица1[[#This Row],[Количество]]-Таблица1[[#This Row],[Количество к возврату]]</f>
        <v>90</v>
      </c>
      <c r="M46" s="150">
        <f>WEEKDAY(Таблица1[[#This Row],[Дата]],2)</f>
        <v>4</v>
      </c>
    </row>
    <row r="47" spans="1:13" x14ac:dyDescent="0.25">
      <c r="A47" s="32">
        <v>42846</v>
      </c>
      <c r="B47" s="16" t="s">
        <v>18</v>
      </c>
      <c r="C47" s="16" t="s">
        <v>3</v>
      </c>
      <c r="D47" s="16" t="s">
        <v>10</v>
      </c>
      <c r="E47" s="16">
        <v>110</v>
      </c>
      <c r="F47" s="16">
        <f>VLOOKUP(Таблица1[[#This Row],[Наименование Товара]],'Информация о товаарах'!$A$2:$C$9,3,FALSE)</f>
        <v>45</v>
      </c>
      <c r="G47" s="17">
        <f>Таблица1[[#This Row],[Количество]]*Таблица1[[#This Row],[Цена]]</f>
        <v>4950</v>
      </c>
      <c r="H47" s="16"/>
      <c r="I47" s="16"/>
      <c r="J47" s="16" t="str">
        <f>IF(Таблица1[[#This Row],[Количество к возврату]] = "","0",Таблица1[[#This Row],[Цена]]*Таблица1[[#This Row],[Количество к возврату]])</f>
        <v>0</v>
      </c>
      <c r="K47" s="22">
        <f>Таблица1[[#This Row],[Стоимость]]-Таблица1[[#This Row],[Стоимость возврата]]</f>
        <v>4950</v>
      </c>
      <c r="L47" s="33">
        <f>Таблица1[[#This Row],[Количество]]-Таблица1[[#This Row],[Количество к возврату]]</f>
        <v>110</v>
      </c>
      <c r="M47" s="150">
        <f>WEEKDAY(Таблица1[[#This Row],[Дата]],2)</f>
        <v>5</v>
      </c>
    </row>
    <row r="48" spans="1:13" x14ac:dyDescent="0.25">
      <c r="A48" s="32">
        <v>42845</v>
      </c>
      <c r="B48" s="16" t="s">
        <v>17</v>
      </c>
      <c r="C48" s="16" t="s">
        <v>4</v>
      </c>
      <c r="D48" s="16" t="s">
        <v>61</v>
      </c>
      <c r="E48" s="16">
        <v>100</v>
      </c>
      <c r="F48" s="16">
        <f>VLOOKUP(Таблица1[[#This Row],[Наименование Товара]],'Информация о товаарах'!$A$2:$C$9,3,FALSE)</f>
        <v>110</v>
      </c>
      <c r="G48" s="17">
        <f>Таблица1[[#This Row],[Количество]]*Таблица1[[#This Row],[Цена]]</f>
        <v>11000</v>
      </c>
      <c r="H48" s="15">
        <v>42855</v>
      </c>
      <c r="I48" s="16">
        <v>60</v>
      </c>
      <c r="J48" s="16">
        <f>IF(Таблица1[[#This Row],[Количество к возврату]] = "","0",Таблица1[[#This Row],[Цена]]*Таблица1[[#This Row],[Количество к возврату]])</f>
        <v>6600</v>
      </c>
      <c r="K48" s="22">
        <f>Таблица1[[#This Row],[Стоимость]]-Таблица1[[#This Row],[Стоимость возврата]]</f>
        <v>4400</v>
      </c>
      <c r="L48" s="33">
        <f>Таблица1[[#This Row],[Количество]]-Таблица1[[#This Row],[Количество к возврату]]</f>
        <v>40</v>
      </c>
      <c r="M48" s="150">
        <f>WEEKDAY(Таблица1[[#This Row],[Дата]],2)</f>
        <v>4</v>
      </c>
    </row>
    <row r="49" spans="1:13" x14ac:dyDescent="0.25">
      <c r="A49" s="32">
        <v>42846</v>
      </c>
      <c r="B49" s="16" t="s">
        <v>19</v>
      </c>
      <c r="C49" s="16" t="s">
        <v>3</v>
      </c>
      <c r="D49" s="16" t="s">
        <v>27</v>
      </c>
      <c r="E49" s="16">
        <v>310</v>
      </c>
      <c r="F49" s="16">
        <f>VLOOKUP(Таблица1[[#This Row],[Наименование Товара]],'Информация о товаарах'!$A$2:$C$9,3,FALSE)</f>
        <v>65</v>
      </c>
      <c r="G49" s="17">
        <f>Таблица1[[#This Row],[Количество]]*Таблица1[[#This Row],[Цена]]</f>
        <v>20150</v>
      </c>
      <c r="H49" s="16"/>
      <c r="I49" s="16"/>
      <c r="J49" s="16" t="str">
        <f>IF(Таблица1[[#This Row],[Количество к возврату]] = "","0",Таблица1[[#This Row],[Цена]]*Таблица1[[#This Row],[Количество к возврату]])</f>
        <v>0</v>
      </c>
      <c r="K49" s="22">
        <f>Таблица1[[#This Row],[Стоимость]]-Таблица1[[#This Row],[Стоимость возврата]]</f>
        <v>20150</v>
      </c>
      <c r="L49" s="33">
        <f>Таблица1[[#This Row],[Количество]]-Таблица1[[#This Row],[Количество к возврату]]</f>
        <v>310</v>
      </c>
      <c r="M49" s="150">
        <f>WEEKDAY(Таблица1[[#This Row],[Дата]],2)</f>
        <v>5</v>
      </c>
    </row>
    <row r="50" spans="1:13" x14ac:dyDescent="0.25">
      <c r="A50" s="32">
        <v>42847</v>
      </c>
      <c r="B50" s="16" t="s">
        <v>18</v>
      </c>
      <c r="C50" s="16" t="s">
        <v>4</v>
      </c>
      <c r="D50" s="16" t="s">
        <v>9</v>
      </c>
      <c r="E50" s="16">
        <v>231</v>
      </c>
      <c r="F50" s="16">
        <f>VLOOKUP(Таблица1[[#This Row],[Наименование Товара]],'Информация о товаарах'!$A$2:$C$9,3,FALSE)</f>
        <v>32</v>
      </c>
      <c r="G50" s="17">
        <f>Таблица1[[#This Row],[Количество]]*Таблица1[[#This Row],[Цена]]</f>
        <v>7392</v>
      </c>
      <c r="H50" s="16"/>
      <c r="I50" s="16"/>
      <c r="J50" s="16" t="str">
        <f>IF(Таблица1[[#This Row],[Количество к возврату]] = "","0",Таблица1[[#This Row],[Цена]]*Таблица1[[#This Row],[Количество к возврату]])</f>
        <v>0</v>
      </c>
      <c r="K50" s="22">
        <f>Таблица1[[#This Row],[Стоимость]]-Таблица1[[#This Row],[Стоимость возврата]]</f>
        <v>7392</v>
      </c>
      <c r="L50" s="33">
        <f>Таблица1[[#This Row],[Количество]]-Таблица1[[#This Row],[Количество к возврату]]</f>
        <v>231</v>
      </c>
      <c r="M50" s="150">
        <f>WEEKDAY(Таблица1[[#This Row],[Дата]],2)</f>
        <v>6</v>
      </c>
    </row>
    <row r="51" spans="1:13" x14ac:dyDescent="0.25">
      <c r="A51" s="32">
        <v>42849</v>
      </c>
      <c r="B51" s="16" t="s">
        <v>17</v>
      </c>
      <c r="C51" s="16" t="s">
        <v>3</v>
      </c>
      <c r="D51" s="16" t="s">
        <v>9</v>
      </c>
      <c r="E51" s="16">
        <v>80</v>
      </c>
      <c r="F51" s="16">
        <f>VLOOKUP(Таблица1[[#This Row],[Наименование Товара]],'Информация о товаарах'!$A$2:$C$9,3,FALSE)</f>
        <v>32</v>
      </c>
      <c r="G51" s="17">
        <f>Таблица1[[#This Row],[Количество]]*Таблица1[[#This Row],[Цена]]</f>
        <v>2560</v>
      </c>
      <c r="H51" s="16"/>
      <c r="I51" s="16"/>
      <c r="J51" s="16" t="str">
        <f>IF(Таблица1[[#This Row],[Количество к возврату]] = "","0",Таблица1[[#This Row],[Цена]]*Таблица1[[#This Row],[Количество к возврату]])</f>
        <v>0</v>
      </c>
      <c r="K51" s="22">
        <f>Таблица1[[#This Row],[Стоимость]]-Таблица1[[#This Row],[Стоимость возврата]]</f>
        <v>2560</v>
      </c>
      <c r="L51" s="33">
        <f>Таблица1[[#This Row],[Количество]]-Таблица1[[#This Row],[Количество к возврату]]</f>
        <v>80</v>
      </c>
      <c r="M51" s="150">
        <f>WEEKDAY(Таблица1[[#This Row],[Дата]],2)</f>
        <v>1</v>
      </c>
    </row>
    <row r="52" spans="1:13" x14ac:dyDescent="0.25">
      <c r="A52" s="32">
        <v>42849</v>
      </c>
      <c r="B52" s="16" t="s">
        <v>19</v>
      </c>
      <c r="C52" s="16" t="s">
        <v>2</v>
      </c>
      <c r="D52" s="16" t="s">
        <v>9</v>
      </c>
      <c r="E52" s="16">
        <v>60</v>
      </c>
      <c r="F52" s="16">
        <f>VLOOKUP(Таблица1[[#This Row],[Наименование Товара]],'Информация о товаарах'!$A$2:$C$9,3,FALSE)</f>
        <v>32</v>
      </c>
      <c r="G52" s="17">
        <f>Таблица1[[#This Row],[Количество]]*Таблица1[[#This Row],[Цена]]</f>
        <v>1920</v>
      </c>
      <c r="H52" s="16"/>
      <c r="I52" s="16"/>
      <c r="J52" s="16" t="str">
        <f>IF(Таблица1[[#This Row],[Количество к возврату]] = "","0",Таблица1[[#This Row],[Цена]]*Таблица1[[#This Row],[Количество к возврату]])</f>
        <v>0</v>
      </c>
      <c r="K52" s="22">
        <f>Таблица1[[#This Row],[Стоимость]]-Таблица1[[#This Row],[Стоимость возврата]]</f>
        <v>1920</v>
      </c>
      <c r="L52" s="33">
        <f>Таблица1[[#This Row],[Количество]]-Таблица1[[#This Row],[Количество к возврату]]</f>
        <v>60</v>
      </c>
      <c r="M52" s="150">
        <f>WEEKDAY(Таблица1[[#This Row],[Дата]],2)</f>
        <v>1</v>
      </c>
    </row>
    <row r="53" spans="1:13" x14ac:dyDescent="0.25">
      <c r="A53" s="32">
        <v>42872</v>
      </c>
      <c r="B53" s="16" t="s">
        <v>18</v>
      </c>
      <c r="C53" s="16" t="s">
        <v>2</v>
      </c>
      <c r="D53" s="16" t="s">
        <v>9</v>
      </c>
      <c r="E53" s="16">
        <v>130</v>
      </c>
      <c r="F53" s="16">
        <f>VLOOKUP(Таблица1[[#This Row],[Наименование Товара]],'Информация о товаарах'!$A$2:$C$9,3,FALSE)</f>
        <v>32</v>
      </c>
      <c r="G53" s="17">
        <f>Таблица1[[#This Row],[Количество]]*Таблица1[[#This Row],[Цена]]</f>
        <v>4160</v>
      </c>
      <c r="H53" s="15">
        <v>42875</v>
      </c>
      <c r="I53" s="16">
        <v>30</v>
      </c>
      <c r="J53" s="16">
        <f>IF(Таблица1[[#This Row],[Количество к возврату]] = "","0",Таблица1[[#This Row],[Цена]]*Таблица1[[#This Row],[Количество к возврату]])</f>
        <v>960</v>
      </c>
      <c r="K53" s="22">
        <f>Таблица1[[#This Row],[Стоимость]]-Таблица1[[#This Row],[Стоимость возврата]]</f>
        <v>3200</v>
      </c>
      <c r="L53" s="33">
        <f>Таблица1[[#This Row],[Количество]]-Таблица1[[#This Row],[Количество к возврату]]</f>
        <v>100</v>
      </c>
      <c r="M53" s="150">
        <f>WEEKDAY(Таблица1[[#This Row],[Дата]],2)</f>
        <v>3</v>
      </c>
    </row>
    <row r="54" spans="1:13" x14ac:dyDescent="0.25">
      <c r="A54" s="32">
        <v>42880</v>
      </c>
      <c r="B54" s="16" t="s">
        <v>18</v>
      </c>
      <c r="C54" s="16" t="s">
        <v>2</v>
      </c>
      <c r="D54" s="16" t="s">
        <v>7</v>
      </c>
      <c r="E54" s="16">
        <v>56</v>
      </c>
      <c r="F54" s="16">
        <f>VLOOKUP(Таблица1[[#This Row],[Наименование Товара]],'Информация о товаарах'!$A$2:$C$9,3,FALSE)</f>
        <v>25</v>
      </c>
      <c r="G54" s="17">
        <f>Таблица1[[#This Row],[Количество]]*Таблица1[[#This Row],[Цена]]</f>
        <v>1400</v>
      </c>
      <c r="H54" s="16"/>
      <c r="I54" s="16"/>
      <c r="J54" s="16" t="str">
        <f>IF(Таблица1[[#This Row],[Количество к возврату]] = "","0",Таблица1[[#This Row],[Цена]]*Таблица1[[#This Row],[Количество к возврату]])</f>
        <v>0</v>
      </c>
      <c r="K54" s="22">
        <f>Таблица1[[#This Row],[Стоимость]]-Таблица1[[#This Row],[Стоимость возврата]]</f>
        <v>1400</v>
      </c>
      <c r="L54" s="33">
        <f>Таблица1[[#This Row],[Количество]]-Таблица1[[#This Row],[Количество к возврату]]</f>
        <v>56</v>
      </c>
      <c r="M54" s="150">
        <f>WEEKDAY(Таблица1[[#This Row],[Дата]],2)</f>
        <v>4</v>
      </c>
    </row>
    <row r="55" spans="1:13" x14ac:dyDescent="0.25">
      <c r="A55" s="32">
        <v>42880</v>
      </c>
      <c r="B55" s="16" t="s">
        <v>19</v>
      </c>
      <c r="C55" s="16" t="s">
        <v>4</v>
      </c>
      <c r="D55" s="16" t="s">
        <v>27</v>
      </c>
      <c r="E55" s="16">
        <v>120</v>
      </c>
      <c r="F55" s="16">
        <f>VLOOKUP(Таблица1[[#This Row],[Наименование Товара]],'Информация о товаарах'!$A$2:$C$9,3,FALSE)</f>
        <v>65</v>
      </c>
      <c r="G55" s="17">
        <f>Таблица1[[#This Row],[Количество]]*Таблица1[[#This Row],[Цена]]</f>
        <v>7800</v>
      </c>
      <c r="H55" s="15">
        <v>42887</v>
      </c>
      <c r="I55" s="16">
        <v>34</v>
      </c>
      <c r="J55" s="16">
        <f>IF(Таблица1[[#This Row],[Количество к возврату]] = "","0",Таблица1[[#This Row],[Цена]]*Таблица1[[#This Row],[Количество к возврату]])</f>
        <v>2210</v>
      </c>
      <c r="K55" s="22">
        <f>Таблица1[[#This Row],[Стоимость]]-Таблица1[[#This Row],[Стоимость возврата]]</f>
        <v>5590</v>
      </c>
      <c r="L55" s="33">
        <f>Таблица1[[#This Row],[Количество]]-Таблица1[[#This Row],[Количество к возврату]]</f>
        <v>86</v>
      </c>
      <c r="M55" s="150">
        <f>WEEKDAY(Таблица1[[#This Row],[Дата]],2)</f>
        <v>4</v>
      </c>
    </row>
    <row r="56" spans="1:13" x14ac:dyDescent="0.25">
      <c r="A56" s="32">
        <v>42881</v>
      </c>
      <c r="B56" s="16" t="s">
        <v>19</v>
      </c>
      <c r="C56" s="16" t="s">
        <v>4</v>
      </c>
      <c r="D56" s="16" t="s">
        <v>9</v>
      </c>
      <c r="E56" s="16">
        <v>100</v>
      </c>
      <c r="F56" s="16">
        <f>VLOOKUP(Таблица1[[#This Row],[Наименование Товара]],'Информация о товаарах'!$A$2:$C$9,3,FALSE)</f>
        <v>32</v>
      </c>
      <c r="G56" s="17">
        <f>Таблица1[[#This Row],[Количество]]*Таблица1[[#This Row],[Цена]]</f>
        <v>3200</v>
      </c>
      <c r="H56" s="16"/>
      <c r="I56" s="16"/>
      <c r="J56" s="16" t="str">
        <f>IF(Таблица1[[#This Row],[Количество к возврату]] = "","0",Таблица1[[#This Row],[Цена]]*Таблица1[[#This Row],[Количество к возврату]])</f>
        <v>0</v>
      </c>
      <c r="K56" s="22">
        <f>Таблица1[[#This Row],[Стоимость]]-Таблица1[[#This Row],[Стоимость возврата]]</f>
        <v>3200</v>
      </c>
      <c r="L56" s="33">
        <f>Таблица1[[#This Row],[Количество]]-Таблица1[[#This Row],[Количество к возврату]]</f>
        <v>100</v>
      </c>
      <c r="M56" s="150">
        <f>WEEKDAY(Таблица1[[#This Row],[Дата]],2)</f>
        <v>5</v>
      </c>
    </row>
    <row r="57" spans="1:13" x14ac:dyDescent="0.25">
      <c r="A57" s="32">
        <v>42881</v>
      </c>
      <c r="B57" s="16" t="s">
        <v>18</v>
      </c>
      <c r="C57" s="16" t="s">
        <v>3</v>
      </c>
      <c r="D57" s="16" t="s">
        <v>7</v>
      </c>
      <c r="E57" s="16">
        <v>60</v>
      </c>
      <c r="F57" s="16">
        <f>VLOOKUP(Таблица1[[#This Row],[Наименование Товара]],'Информация о товаарах'!$A$2:$C$9,3,FALSE)</f>
        <v>25</v>
      </c>
      <c r="G57" s="17">
        <f>Таблица1[[#This Row],[Количество]]*Таблица1[[#This Row],[Цена]]</f>
        <v>1500</v>
      </c>
      <c r="H57" s="16"/>
      <c r="I57" s="16"/>
      <c r="J57" s="16" t="str">
        <f>IF(Таблица1[[#This Row],[Количество к возврату]] = "","0",Таблица1[[#This Row],[Цена]]*Таблица1[[#This Row],[Количество к возврату]])</f>
        <v>0</v>
      </c>
      <c r="K57" s="22">
        <f>Таблица1[[#This Row],[Стоимость]]-Таблица1[[#This Row],[Стоимость возврата]]</f>
        <v>1500</v>
      </c>
      <c r="L57" s="33">
        <f>Таблица1[[#This Row],[Количество]]-Таблица1[[#This Row],[Количество к возврату]]</f>
        <v>60</v>
      </c>
      <c r="M57" s="150">
        <f>WEEKDAY(Таблица1[[#This Row],[Дата]],2)</f>
        <v>5</v>
      </c>
    </row>
    <row r="58" spans="1:13" x14ac:dyDescent="0.25">
      <c r="A58" s="32">
        <v>42882</v>
      </c>
      <c r="B58" s="16" t="s">
        <v>18</v>
      </c>
      <c r="C58" s="16" t="s">
        <v>3</v>
      </c>
      <c r="D58" s="16" t="s">
        <v>9</v>
      </c>
      <c r="E58" s="16">
        <v>200</v>
      </c>
      <c r="F58" s="16">
        <f>VLOOKUP(Таблица1[[#This Row],[Наименование Товара]],'Информация о товаарах'!$A$2:$C$9,3,FALSE)</f>
        <v>32</v>
      </c>
      <c r="G58" s="17">
        <f>Таблица1[[#This Row],[Количество]]*Таблица1[[#This Row],[Цена]]</f>
        <v>6400</v>
      </c>
      <c r="H58" s="16"/>
      <c r="I58" s="16"/>
      <c r="J58" s="16" t="str">
        <f>IF(Таблица1[[#This Row],[Количество к возврату]] = "","0",Таблица1[[#This Row],[Цена]]*Таблица1[[#This Row],[Количество к возврату]])</f>
        <v>0</v>
      </c>
      <c r="K58" s="22">
        <f>Таблица1[[#This Row],[Стоимость]]-Таблица1[[#This Row],[Стоимость возврата]]</f>
        <v>6400</v>
      </c>
      <c r="L58" s="33">
        <f>Таблица1[[#This Row],[Количество]]-Таблица1[[#This Row],[Количество к возврату]]</f>
        <v>200</v>
      </c>
      <c r="M58" s="150">
        <f>WEEKDAY(Таблица1[[#This Row],[Дата]],2)</f>
        <v>6</v>
      </c>
    </row>
    <row r="59" spans="1:13" x14ac:dyDescent="0.25">
      <c r="A59" s="32">
        <v>42892</v>
      </c>
      <c r="B59" s="16" t="s">
        <v>20</v>
      </c>
      <c r="C59" s="16" t="s">
        <v>3</v>
      </c>
      <c r="D59" s="16" t="s">
        <v>28</v>
      </c>
      <c r="E59" s="16">
        <v>210</v>
      </c>
      <c r="F59" s="16">
        <f>VLOOKUP(Таблица1[[#This Row],[Наименование Товара]],'Информация о товаарах'!$A$2:$C$9,3,FALSE)</f>
        <v>87</v>
      </c>
      <c r="G59" s="17">
        <f>Таблица1[[#This Row],[Количество]]*Таблица1[[#This Row],[Цена]]</f>
        <v>18270</v>
      </c>
      <c r="H59" s="15">
        <v>42904</v>
      </c>
      <c r="I59" s="16">
        <v>50</v>
      </c>
      <c r="J59" s="16">
        <f>IF(Таблица1[[#This Row],[Количество к возврату]] = "","0",Таблица1[[#This Row],[Цена]]*Таблица1[[#This Row],[Количество к возврату]])</f>
        <v>4350</v>
      </c>
      <c r="K59" s="22">
        <f>Таблица1[[#This Row],[Стоимость]]-Таблица1[[#This Row],[Стоимость возврата]]</f>
        <v>13920</v>
      </c>
      <c r="L59" s="33">
        <f>Таблица1[[#This Row],[Количество]]-Таблица1[[#This Row],[Количество к возврату]]</f>
        <v>160</v>
      </c>
      <c r="M59" s="150">
        <f>WEEKDAY(Таблица1[[#This Row],[Дата]],2)</f>
        <v>2</v>
      </c>
    </row>
    <row r="60" spans="1:13" x14ac:dyDescent="0.25">
      <c r="A60" s="32">
        <v>42894</v>
      </c>
      <c r="B60" s="16" t="s">
        <v>18</v>
      </c>
      <c r="C60" s="16" t="s">
        <v>2</v>
      </c>
      <c r="D60" s="16" t="s">
        <v>27</v>
      </c>
      <c r="E60" s="16">
        <v>120</v>
      </c>
      <c r="F60" s="16">
        <f>VLOOKUP(Таблица1[[#This Row],[Наименование Товара]],'Информация о товаарах'!$A$2:$C$9,3,FALSE)</f>
        <v>65</v>
      </c>
      <c r="G60" s="17">
        <f>Таблица1[[#This Row],[Количество]]*Таблица1[[#This Row],[Цена]]</f>
        <v>7800</v>
      </c>
      <c r="H60" s="16"/>
      <c r="I60" s="16"/>
      <c r="J60" s="16" t="str">
        <f>IF(Таблица1[[#This Row],[Количество к возврату]] = "","0",Таблица1[[#This Row],[Цена]]*Таблица1[[#This Row],[Количество к возврату]])</f>
        <v>0</v>
      </c>
      <c r="K60" s="22">
        <f>Таблица1[[#This Row],[Стоимость]]-Таблица1[[#This Row],[Стоимость возврата]]</f>
        <v>7800</v>
      </c>
      <c r="L60" s="33">
        <f>Таблица1[[#This Row],[Количество]]-Таблица1[[#This Row],[Количество к возврату]]</f>
        <v>120</v>
      </c>
      <c r="M60" s="150">
        <f>WEEKDAY(Таблица1[[#This Row],[Дата]],2)</f>
        <v>4</v>
      </c>
    </row>
    <row r="61" spans="1:13" x14ac:dyDescent="0.25">
      <c r="A61" s="32">
        <v>42895</v>
      </c>
      <c r="B61" s="16" t="s">
        <v>19</v>
      </c>
      <c r="C61" s="16" t="s">
        <v>2</v>
      </c>
      <c r="D61" s="16" t="s">
        <v>62</v>
      </c>
      <c r="E61" s="16">
        <v>180</v>
      </c>
      <c r="F61" s="16">
        <f>VLOOKUP(Таблица1[[#This Row],[Наименование Товара]],'Информация о товаарах'!$A$2:$C$9,3,FALSE)</f>
        <v>136</v>
      </c>
      <c r="G61" s="17">
        <f>Таблица1[[#This Row],[Количество]]*Таблица1[[#This Row],[Цена]]</f>
        <v>24480</v>
      </c>
      <c r="H61" s="15">
        <v>42914</v>
      </c>
      <c r="I61" s="16">
        <v>80</v>
      </c>
      <c r="J61" s="16">
        <f>IF(Таблица1[[#This Row],[Количество к возврату]] = "","0",Таблица1[[#This Row],[Цена]]*Таблица1[[#This Row],[Количество к возврату]])</f>
        <v>10880</v>
      </c>
      <c r="K61" s="22">
        <f>Таблица1[[#This Row],[Стоимость]]-Таблица1[[#This Row],[Стоимость возврата]]</f>
        <v>13600</v>
      </c>
      <c r="L61" s="33">
        <f>Таблица1[[#This Row],[Количество]]-Таблица1[[#This Row],[Количество к возврату]]</f>
        <v>100</v>
      </c>
      <c r="M61" s="150">
        <f>WEEKDAY(Таблица1[[#This Row],[Дата]],2)</f>
        <v>5</v>
      </c>
    </row>
    <row r="62" spans="1:13" x14ac:dyDescent="0.25">
      <c r="A62" s="32">
        <v>42896</v>
      </c>
      <c r="B62" s="16" t="s">
        <v>19</v>
      </c>
      <c r="C62" s="16" t="s">
        <v>4</v>
      </c>
      <c r="D62" s="16" t="s">
        <v>61</v>
      </c>
      <c r="E62" s="16">
        <v>12</v>
      </c>
      <c r="F62" s="16">
        <f>VLOOKUP(Таблица1[[#This Row],[Наименование Товара]],'Информация о товаарах'!$A$2:$C$9,3,FALSE)</f>
        <v>110</v>
      </c>
      <c r="G62" s="17">
        <f>Таблица1[[#This Row],[Количество]]*Таблица1[[#This Row],[Цена]]</f>
        <v>1320</v>
      </c>
      <c r="H62" s="16"/>
      <c r="I62" s="16"/>
      <c r="J62" s="16" t="str">
        <f>IF(Таблица1[[#This Row],[Количество к возврату]] = "","0",Таблица1[[#This Row],[Цена]]*Таблица1[[#This Row],[Количество к возврату]])</f>
        <v>0</v>
      </c>
      <c r="K62" s="22">
        <f>Таблица1[[#This Row],[Стоимость]]-Таблица1[[#This Row],[Стоимость возврата]]</f>
        <v>1320</v>
      </c>
      <c r="L62" s="33">
        <f>Таблица1[[#This Row],[Количество]]-Таблица1[[#This Row],[Количество к возврату]]</f>
        <v>12</v>
      </c>
      <c r="M62" s="150">
        <f>WEEKDAY(Таблица1[[#This Row],[Дата]],2)</f>
        <v>6</v>
      </c>
    </row>
    <row r="63" spans="1:13" x14ac:dyDescent="0.25">
      <c r="A63" s="32">
        <v>42899</v>
      </c>
      <c r="B63" s="16" t="s">
        <v>17</v>
      </c>
      <c r="C63" s="16" t="s">
        <v>3</v>
      </c>
      <c r="D63" s="16" t="s">
        <v>28</v>
      </c>
      <c r="E63" s="16">
        <v>160</v>
      </c>
      <c r="F63" s="16">
        <f>VLOOKUP(Таблица1[[#This Row],[Наименование Товара]],'Информация о товаарах'!$A$2:$C$9,3,FALSE)</f>
        <v>87</v>
      </c>
      <c r="G63" s="17">
        <f>Таблица1[[#This Row],[Количество]]*Таблица1[[#This Row],[Цена]]</f>
        <v>13920</v>
      </c>
      <c r="H63" s="16"/>
      <c r="I63" s="16"/>
      <c r="J63" s="16" t="str">
        <f>IF(Таблица1[[#This Row],[Количество к возврату]] = "","0",Таблица1[[#This Row],[Цена]]*Таблица1[[#This Row],[Количество к возврату]])</f>
        <v>0</v>
      </c>
      <c r="K63" s="22">
        <f>Таблица1[[#This Row],[Стоимость]]-Таблица1[[#This Row],[Стоимость возврата]]</f>
        <v>13920</v>
      </c>
      <c r="L63" s="33">
        <f>Таблица1[[#This Row],[Количество]]-Таблица1[[#This Row],[Количество к возврату]]</f>
        <v>160</v>
      </c>
      <c r="M63" s="150">
        <f>WEEKDAY(Таблица1[[#This Row],[Дата]],2)</f>
        <v>2</v>
      </c>
    </row>
    <row r="64" spans="1:13" x14ac:dyDescent="0.25">
      <c r="A64" s="32">
        <v>42898</v>
      </c>
      <c r="B64" s="16" t="s">
        <v>20</v>
      </c>
      <c r="C64" s="16" t="s">
        <v>3</v>
      </c>
      <c r="D64" s="16" t="s">
        <v>61</v>
      </c>
      <c r="E64" s="16">
        <v>41</v>
      </c>
      <c r="F64" s="16">
        <f>VLOOKUP(Таблица1[[#This Row],[Наименование Товара]],'Информация о товаарах'!$A$2:$C$9,3,FALSE)</f>
        <v>110</v>
      </c>
      <c r="G64" s="17">
        <f>Таблица1[[#This Row],[Количество]]*Таблица1[[#This Row],[Цена]]</f>
        <v>4510</v>
      </c>
      <c r="H64" s="16"/>
      <c r="I64" s="16"/>
      <c r="J64" s="16" t="str">
        <f>IF(Таблица1[[#This Row],[Количество к возврату]] = "","0",Таблица1[[#This Row],[Цена]]*Таблица1[[#This Row],[Количество к возврату]])</f>
        <v>0</v>
      </c>
      <c r="K64" s="22">
        <f>Таблица1[[#This Row],[Стоимость]]-Таблица1[[#This Row],[Стоимость возврата]]</f>
        <v>4510</v>
      </c>
      <c r="L64" s="33">
        <f>Таблица1[[#This Row],[Количество]]-Таблица1[[#This Row],[Количество к возврату]]</f>
        <v>41</v>
      </c>
      <c r="M64" s="150">
        <f>WEEKDAY(Таблица1[[#This Row],[Дата]],2)</f>
        <v>1</v>
      </c>
    </row>
    <row r="65" spans="1:13" x14ac:dyDescent="0.25">
      <c r="A65" s="32">
        <v>42899</v>
      </c>
      <c r="B65" s="16" t="s">
        <v>17</v>
      </c>
      <c r="C65" s="16" t="s">
        <v>3</v>
      </c>
      <c r="D65" s="16" t="s">
        <v>62</v>
      </c>
      <c r="E65" s="16">
        <v>20</v>
      </c>
      <c r="F65" s="16">
        <f>VLOOKUP(Таблица1[[#This Row],[Наименование Товара]],'Информация о товаарах'!$A$2:$C$9,3,FALSE)</f>
        <v>136</v>
      </c>
      <c r="G65" s="17">
        <f>Таблица1[[#This Row],[Количество]]*Таблица1[[#This Row],[Цена]]</f>
        <v>2720</v>
      </c>
      <c r="H65" s="16"/>
      <c r="I65" s="16"/>
      <c r="J65" s="16" t="str">
        <f>IF(Таблица1[[#This Row],[Количество к возврату]] = "","0",Таблица1[[#This Row],[Цена]]*Таблица1[[#This Row],[Количество к возврату]])</f>
        <v>0</v>
      </c>
      <c r="K65" s="22">
        <f>Таблица1[[#This Row],[Стоимость]]-Таблица1[[#This Row],[Стоимость возврата]]</f>
        <v>2720</v>
      </c>
      <c r="L65" s="33">
        <f>Таблица1[[#This Row],[Количество]]-Таблица1[[#This Row],[Количество к возврату]]</f>
        <v>20</v>
      </c>
      <c r="M65" s="150">
        <f>WEEKDAY(Таблица1[[#This Row],[Дата]],2)</f>
        <v>2</v>
      </c>
    </row>
    <row r="66" spans="1:13" x14ac:dyDescent="0.25">
      <c r="A66" s="32">
        <v>42901</v>
      </c>
      <c r="B66" s="16" t="s">
        <v>20</v>
      </c>
      <c r="C66" s="16" t="s">
        <v>2</v>
      </c>
      <c r="D66" s="16" t="s">
        <v>7</v>
      </c>
      <c r="E66" s="16">
        <v>100</v>
      </c>
      <c r="F66" s="16">
        <f>VLOOKUP(Таблица1[[#This Row],[Наименование Товара]],'Информация о товаарах'!$A$2:$C$9,3,FALSE)</f>
        <v>25</v>
      </c>
      <c r="G66" s="17">
        <f>Таблица1[[#This Row],[Количество]]*Таблица1[[#This Row],[Цена]]</f>
        <v>2500</v>
      </c>
      <c r="H66" s="15">
        <v>42917</v>
      </c>
      <c r="I66" s="16">
        <v>12</v>
      </c>
      <c r="J66" s="16">
        <f>IF(Таблица1[[#This Row],[Количество к возврату]] = "","0",Таблица1[[#This Row],[Цена]]*Таблица1[[#This Row],[Количество к возврату]])</f>
        <v>300</v>
      </c>
      <c r="K66" s="22">
        <f>Таблица1[[#This Row],[Стоимость]]-Таблица1[[#This Row],[Стоимость возврата]]</f>
        <v>2200</v>
      </c>
      <c r="L66" s="33">
        <f>Таблица1[[#This Row],[Количество]]-Таблица1[[#This Row],[Количество к возврату]]</f>
        <v>88</v>
      </c>
      <c r="M66" s="150">
        <f>WEEKDAY(Таблица1[[#This Row],[Дата]],2)</f>
        <v>4</v>
      </c>
    </row>
    <row r="67" spans="1:13" x14ac:dyDescent="0.25">
      <c r="A67" s="32">
        <v>42901</v>
      </c>
      <c r="B67" s="16" t="s">
        <v>19</v>
      </c>
      <c r="C67" s="16" t="s">
        <v>2</v>
      </c>
      <c r="D67" s="16" t="s">
        <v>9</v>
      </c>
      <c r="E67" s="16">
        <v>210</v>
      </c>
      <c r="F67" s="16">
        <f>VLOOKUP(Таблица1[[#This Row],[Наименование Товара]],'Информация о товаарах'!$A$2:$C$9,3,FALSE)</f>
        <v>32</v>
      </c>
      <c r="G67" s="17">
        <f>Таблица1[[#This Row],[Количество]]*Таблица1[[#This Row],[Цена]]</f>
        <v>6720</v>
      </c>
      <c r="H67" s="15">
        <v>42912</v>
      </c>
      <c r="I67" s="16">
        <v>80</v>
      </c>
      <c r="J67" s="16">
        <f>IF(Таблица1[[#This Row],[Количество к возврату]] = "","0",Таблица1[[#This Row],[Цена]]*Таблица1[[#This Row],[Количество к возврату]])</f>
        <v>2560</v>
      </c>
      <c r="K67" s="22">
        <f>Таблица1[[#This Row],[Стоимость]]-Таблица1[[#This Row],[Стоимость возврата]]</f>
        <v>4160</v>
      </c>
      <c r="L67" s="33">
        <f>Таблица1[[#This Row],[Количество]]-Таблица1[[#This Row],[Количество к возврату]]</f>
        <v>130</v>
      </c>
      <c r="M67" s="150">
        <f>WEEKDAY(Таблица1[[#This Row],[Дата]],2)</f>
        <v>4</v>
      </c>
    </row>
    <row r="68" spans="1:13" x14ac:dyDescent="0.25">
      <c r="A68" s="32">
        <v>42931</v>
      </c>
      <c r="B68" s="16" t="s">
        <v>18</v>
      </c>
      <c r="C68" s="16" t="s">
        <v>2</v>
      </c>
      <c r="D68" s="16" t="s">
        <v>9</v>
      </c>
      <c r="E68" s="16">
        <v>100</v>
      </c>
      <c r="F68" s="16">
        <f>VLOOKUP(Таблица1[[#This Row],[Наименование Товара]],'Информация о товаарах'!$A$2:$C$9,3,FALSE)</f>
        <v>32</v>
      </c>
      <c r="G68" s="17">
        <f>Таблица1[[#This Row],[Количество]]*Таблица1[[#This Row],[Цена]]</f>
        <v>3200</v>
      </c>
      <c r="H68" s="16"/>
      <c r="I68" s="16"/>
      <c r="J68" s="16" t="str">
        <f>IF(Таблица1[[#This Row],[Количество к возврату]] = "","0",Таблица1[[#This Row],[Цена]]*Таблица1[[#This Row],[Количество к возврату]])</f>
        <v>0</v>
      </c>
      <c r="K68" s="22">
        <f>Таблица1[[#This Row],[Стоимость]]-Таблица1[[#This Row],[Стоимость возврата]]</f>
        <v>3200</v>
      </c>
      <c r="L68" s="33">
        <f>Таблица1[[#This Row],[Количество]]-Таблица1[[#This Row],[Количество к возврату]]</f>
        <v>100</v>
      </c>
      <c r="M68" s="150">
        <f>WEEKDAY(Таблица1[[#This Row],[Дата]],2)</f>
        <v>6</v>
      </c>
    </row>
    <row r="69" spans="1:13" x14ac:dyDescent="0.25">
      <c r="A69" s="32">
        <v>42932</v>
      </c>
      <c r="B69" s="16" t="s">
        <v>19</v>
      </c>
      <c r="C69" s="16" t="s">
        <v>4</v>
      </c>
      <c r="D69" s="12" t="s">
        <v>26</v>
      </c>
      <c r="E69" s="16">
        <v>40</v>
      </c>
      <c r="F69" s="16">
        <f>VLOOKUP(Таблица1[[#This Row],[Наименование Товара]],'Информация о товаарах'!$A$2:$C$9,3,FALSE)</f>
        <v>54</v>
      </c>
      <c r="G69" s="17">
        <f>Таблица1[[#This Row],[Количество]]*Таблица1[[#This Row],[Цена]]</f>
        <v>2160</v>
      </c>
      <c r="H69" s="16"/>
      <c r="I69" s="16"/>
      <c r="J69" s="16" t="str">
        <f>IF(Таблица1[[#This Row],[Количество к возврату]] = "","0",Таблица1[[#This Row],[Цена]]*Таблица1[[#This Row],[Количество к возврату]])</f>
        <v>0</v>
      </c>
      <c r="K69" s="22">
        <f>Таблица1[[#This Row],[Стоимость]]-Таблица1[[#This Row],[Стоимость возврата]]</f>
        <v>2160</v>
      </c>
      <c r="L69" s="33">
        <f>Таблица1[[#This Row],[Количество]]-Таблица1[[#This Row],[Количество к возврату]]</f>
        <v>40</v>
      </c>
      <c r="M69" s="150">
        <f>WEEKDAY(Таблица1[[#This Row],[Дата]],2)</f>
        <v>7</v>
      </c>
    </row>
    <row r="70" spans="1:13" x14ac:dyDescent="0.25">
      <c r="A70" s="32">
        <v>42933</v>
      </c>
      <c r="B70" s="16" t="s">
        <v>18</v>
      </c>
      <c r="C70" s="16" t="s">
        <v>3</v>
      </c>
      <c r="D70" s="16" t="s">
        <v>28</v>
      </c>
      <c r="E70" s="16">
        <v>60</v>
      </c>
      <c r="F70" s="16">
        <f>VLOOKUP(Таблица1[[#This Row],[Наименование Товара]],'Информация о товаарах'!$A$2:$C$9,3,FALSE)</f>
        <v>87</v>
      </c>
      <c r="G70" s="17">
        <f>Таблица1[[#This Row],[Количество]]*Таблица1[[#This Row],[Цена]]</f>
        <v>5220</v>
      </c>
      <c r="H70" s="16"/>
      <c r="I70" s="16"/>
      <c r="J70" s="16" t="str">
        <f>IF(Таблица1[[#This Row],[Количество к возврату]] = "","0",Таблица1[[#This Row],[Цена]]*Таблица1[[#This Row],[Количество к возврату]])</f>
        <v>0</v>
      </c>
      <c r="K70" s="22">
        <f>Таблица1[[#This Row],[Стоимость]]-Таблица1[[#This Row],[Стоимость возврата]]</f>
        <v>5220</v>
      </c>
      <c r="L70" s="33">
        <f>Таблица1[[#This Row],[Количество]]-Таблица1[[#This Row],[Количество к возврату]]</f>
        <v>60</v>
      </c>
      <c r="M70" s="150">
        <f>WEEKDAY(Таблица1[[#This Row],[Дата]],2)</f>
        <v>1</v>
      </c>
    </row>
    <row r="71" spans="1:13" x14ac:dyDescent="0.25">
      <c r="A71" s="32">
        <v>42934</v>
      </c>
      <c r="B71" s="16" t="s">
        <v>17</v>
      </c>
      <c r="C71" s="16" t="s">
        <v>3</v>
      </c>
      <c r="D71" s="16" t="s">
        <v>61</v>
      </c>
      <c r="E71" s="16">
        <v>90</v>
      </c>
      <c r="F71" s="16">
        <f>VLOOKUP(Таблица1[[#This Row],[Наименование Товара]],'Информация о товаарах'!$A$2:$C$9,3,FALSE)</f>
        <v>110</v>
      </c>
      <c r="G71" s="17">
        <f>Таблица1[[#This Row],[Количество]]*Таблица1[[#This Row],[Цена]]</f>
        <v>9900</v>
      </c>
      <c r="H71" s="15">
        <v>42936</v>
      </c>
      <c r="I71" s="16">
        <v>10</v>
      </c>
      <c r="J71" s="16">
        <f>IF(Таблица1[[#This Row],[Количество к возврату]] = "","0",Таблица1[[#This Row],[Цена]]*Таблица1[[#This Row],[Количество к возврату]])</f>
        <v>1100</v>
      </c>
      <c r="K71" s="22">
        <f>Таблица1[[#This Row],[Стоимость]]-Таблица1[[#This Row],[Стоимость возврата]]</f>
        <v>8800</v>
      </c>
      <c r="L71" s="33">
        <f>Таблица1[[#This Row],[Количество]]-Таблица1[[#This Row],[Количество к возврату]]</f>
        <v>80</v>
      </c>
      <c r="M71" s="150">
        <f>WEEKDAY(Таблица1[[#This Row],[Дата]],2)</f>
        <v>2</v>
      </c>
    </row>
    <row r="72" spans="1:13" x14ac:dyDescent="0.25">
      <c r="A72" s="32">
        <v>42935</v>
      </c>
      <c r="B72" s="16" t="s">
        <v>20</v>
      </c>
      <c r="C72" s="16" t="s">
        <v>3</v>
      </c>
      <c r="D72" s="16" t="s">
        <v>62</v>
      </c>
      <c r="E72" s="16">
        <v>100</v>
      </c>
      <c r="F72" s="16">
        <f>VLOOKUP(Таблица1[[#This Row],[Наименование Товара]],'Информация о товаарах'!$A$2:$C$9,3,FALSE)</f>
        <v>136</v>
      </c>
      <c r="G72" s="17">
        <f>Таблица1[[#This Row],[Количество]]*Таблица1[[#This Row],[Цена]]</f>
        <v>13600</v>
      </c>
      <c r="H72" s="16"/>
      <c r="I72" s="16"/>
      <c r="J72" s="16" t="str">
        <f>IF(Таблица1[[#This Row],[Количество к возврату]] = "","0",Таблица1[[#This Row],[Цена]]*Таблица1[[#This Row],[Количество к возврату]])</f>
        <v>0</v>
      </c>
      <c r="K72" s="22">
        <f>Таблица1[[#This Row],[Стоимость]]-Таблица1[[#This Row],[Стоимость возврата]]</f>
        <v>13600</v>
      </c>
      <c r="L72" s="33">
        <f>Таблица1[[#This Row],[Количество]]-Таблица1[[#This Row],[Количество к возврату]]</f>
        <v>100</v>
      </c>
      <c r="M72" s="150">
        <f>WEEKDAY(Таблица1[[#This Row],[Дата]],2)</f>
        <v>3</v>
      </c>
    </row>
    <row r="73" spans="1:13" x14ac:dyDescent="0.25">
      <c r="A73" s="32">
        <v>42936</v>
      </c>
      <c r="B73" s="16" t="s">
        <v>17</v>
      </c>
      <c r="C73" s="16" t="s">
        <v>2</v>
      </c>
      <c r="D73" s="16" t="s">
        <v>10</v>
      </c>
      <c r="E73" s="16">
        <v>80</v>
      </c>
      <c r="F73" s="16">
        <f>VLOOKUP(Таблица1[[#This Row],[Наименование Товара]],'Информация о товаарах'!$A$2:$C$9,3,FALSE)</f>
        <v>45</v>
      </c>
      <c r="G73" s="17">
        <f>Таблица1[[#This Row],[Количество]]*Таблица1[[#This Row],[Цена]]</f>
        <v>3600</v>
      </c>
      <c r="H73" s="16"/>
      <c r="I73" s="16"/>
      <c r="J73" s="16" t="str">
        <f>IF(Таблица1[[#This Row],[Количество к возврату]] = "","0",Таблица1[[#This Row],[Цена]]*Таблица1[[#This Row],[Количество к возврату]])</f>
        <v>0</v>
      </c>
      <c r="K73" s="22">
        <f>Таблица1[[#This Row],[Стоимость]]-Таблица1[[#This Row],[Стоимость возврата]]</f>
        <v>3600</v>
      </c>
      <c r="L73" s="33">
        <f>Таблица1[[#This Row],[Количество]]-Таблица1[[#This Row],[Количество к возврату]]</f>
        <v>80</v>
      </c>
      <c r="M73" s="150">
        <f>WEEKDAY(Таблица1[[#This Row],[Дата]],2)</f>
        <v>4</v>
      </c>
    </row>
    <row r="74" spans="1:13" x14ac:dyDescent="0.25">
      <c r="A74" s="32">
        <v>42937</v>
      </c>
      <c r="B74" s="16" t="s">
        <v>20</v>
      </c>
      <c r="C74" s="16" t="s">
        <v>2</v>
      </c>
      <c r="D74" s="12" t="s">
        <v>7</v>
      </c>
      <c r="E74" s="16">
        <v>90</v>
      </c>
      <c r="F74" s="16">
        <f>VLOOKUP(Таблица1[[#This Row],[Наименование Товара]],'Информация о товаарах'!$A$2:$C$9,3,FALSE)</f>
        <v>25</v>
      </c>
      <c r="G74" s="17">
        <f>Таблица1[[#This Row],[Количество]]*Таблица1[[#This Row],[Цена]]</f>
        <v>2250</v>
      </c>
      <c r="H74" s="16"/>
      <c r="I74" s="16"/>
      <c r="J74" s="16" t="str">
        <f>IF(Таблица1[[#This Row],[Количество к возврату]] = "","0",Таблица1[[#This Row],[Цена]]*Таблица1[[#This Row],[Количество к возврату]])</f>
        <v>0</v>
      </c>
      <c r="K74" s="22">
        <f>Таблица1[[#This Row],[Стоимость]]-Таблица1[[#This Row],[Стоимость возврата]]</f>
        <v>2250</v>
      </c>
      <c r="L74" s="33">
        <f>Таблица1[[#This Row],[Количество]]-Таблица1[[#This Row],[Количество к возврату]]</f>
        <v>90</v>
      </c>
      <c r="M74" s="150">
        <f>WEEKDAY(Таблица1[[#This Row],[Дата]],2)</f>
        <v>5</v>
      </c>
    </row>
    <row r="75" spans="1:13" x14ac:dyDescent="0.25">
      <c r="A75" s="32">
        <v>42938</v>
      </c>
      <c r="B75" s="16" t="s">
        <v>19</v>
      </c>
      <c r="C75" s="16" t="s">
        <v>2</v>
      </c>
      <c r="D75" s="12" t="s">
        <v>9</v>
      </c>
      <c r="E75" s="16">
        <v>56</v>
      </c>
      <c r="F75" s="16">
        <f>VLOOKUP(Таблица1[[#This Row],[Наименование Товара]],'Информация о товаарах'!$A$2:$C$9,3,FALSE)</f>
        <v>32</v>
      </c>
      <c r="G75" s="17">
        <f>Таблица1[[#This Row],[Количество]]*Таблица1[[#This Row],[Цена]]</f>
        <v>1792</v>
      </c>
      <c r="H75" s="16"/>
      <c r="I75" s="16"/>
      <c r="J75" s="16" t="str">
        <f>IF(Таблица1[[#This Row],[Количество к возврату]] = "","0",Таблица1[[#This Row],[Цена]]*Таблица1[[#This Row],[Количество к возврату]])</f>
        <v>0</v>
      </c>
      <c r="K75" s="22">
        <f>Таблица1[[#This Row],[Стоимость]]-Таблица1[[#This Row],[Стоимость возврата]]</f>
        <v>1792</v>
      </c>
      <c r="L75" s="33">
        <f>Таблица1[[#This Row],[Количество]]-Таблица1[[#This Row],[Количество к возврату]]</f>
        <v>56</v>
      </c>
      <c r="M75" s="150">
        <f>WEEKDAY(Таблица1[[#This Row],[Дата]],2)</f>
        <v>6</v>
      </c>
    </row>
    <row r="76" spans="1:13" x14ac:dyDescent="0.25">
      <c r="A76" s="32">
        <v>42939</v>
      </c>
      <c r="B76" s="16" t="s">
        <v>18</v>
      </c>
      <c r="C76" s="16" t="s">
        <v>4</v>
      </c>
      <c r="D76" s="12" t="s">
        <v>10</v>
      </c>
      <c r="E76" s="16">
        <v>120</v>
      </c>
      <c r="F76" s="16">
        <f>VLOOKUP(Таблица1[[#This Row],[Наименование Товара]],'Информация о товаарах'!$A$2:$C$9,3,FALSE)</f>
        <v>45</v>
      </c>
      <c r="G76" s="17">
        <f>Таблица1[[#This Row],[Количество]]*Таблица1[[#This Row],[Цена]]</f>
        <v>5400</v>
      </c>
      <c r="H76" s="15">
        <v>42943</v>
      </c>
      <c r="I76" s="16">
        <v>40</v>
      </c>
      <c r="J76" s="16">
        <f>IF(Таблица1[[#This Row],[Количество к возврату]] = "","0",Таблица1[[#This Row],[Цена]]*Таблица1[[#This Row],[Количество к возврату]])</f>
        <v>1800</v>
      </c>
      <c r="K76" s="22">
        <f>Таблица1[[#This Row],[Стоимость]]-Таблица1[[#This Row],[Стоимость возврата]]</f>
        <v>3600</v>
      </c>
      <c r="L76" s="33">
        <f>Таблица1[[#This Row],[Количество]]-Таблица1[[#This Row],[Количество к возврату]]</f>
        <v>80</v>
      </c>
      <c r="M76" s="150">
        <f>WEEKDAY(Таблица1[[#This Row],[Дата]],2)</f>
        <v>7</v>
      </c>
    </row>
    <row r="77" spans="1:13" x14ac:dyDescent="0.25">
      <c r="A77" s="32">
        <v>42940</v>
      </c>
      <c r="B77" s="16" t="s">
        <v>19</v>
      </c>
      <c r="C77" s="16" t="s">
        <v>3</v>
      </c>
      <c r="D77" s="12" t="s">
        <v>26</v>
      </c>
      <c r="E77" s="16">
        <v>80</v>
      </c>
      <c r="F77" s="16">
        <f>VLOOKUP(Таблица1[[#This Row],[Наименование Товара]],'Информация о товаарах'!$A$2:$C$9,3,FALSE)</f>
        <v>54</v>
      </c>
      <c r="G77" s="17">
        <f>Таблица1[[#This Row],[Количество]]*Таблица1[[#This Row],[Цена]]</f>
        <v>4320</v>
      </c>
      <c r="H77" s="16"/>
      <c r="I77" s="16"/>
      <c r="J77" s="16" t="str">
        <f>IF(Таблица1[[#This Row],[Количество к возврату]] = "","0",Таблица1[[#This Row],[Цена]]*Таблица1[[#This Row],[Количество к возврату]])</f>
        <v>0</v>
      </c>
      <c r="K77" s="22">
        <f>Таблица1[[#This Row],[Стоимость]]-Таблица1[[#This Row],[Стоимость возврата]]</f>
        <v>4320</v>
      </c>
      <c r="L77" s="33">
        <f>Таблица1[[#This Row],[Количество]]-Таблица1[[#This Row],[Количество к возврату]]</f>
        <v>80</v>
      </c>
      <c r="M77" s="150">
        <f>WEEKDAY(Таблица1[[#This Row],[Дата]],2)</f>
        <v>1</v>
      </c>
    </row>
    <row r="78" spans="1:13" x14ac:dyDescent="0.25">
      <c r="A78" s="32">
        <v>42940</v>
      </c>
      <c r="B78" s="16" t="s">
        <v>19</v>
      </c>
      <c r="C78" s="16" t="s">
        <v>3</v>
      </c>
      <c r="D78" s="12" t="s">
        <v>26</v>
      </c>
      <c r="E78" s="16">
        <v>80</v>
      </c>
      <c r="F78" s="16">
        <f>VLOOKUP(Таблица1[[#This Row],[Наименование Товара]],'Информация о товаарах'!$A$2:$C$9,3,FALSE)</f>
        <v>54</v>
      </c>
      <c r="G78" s="17">
        <f>Таблица1[[#This Row],[Количество]]*Таблица1[[#This Row],[Цена]]</f>
        <v>4320</v>
      </c>
      <c r="H78" s="16"/>
      <c r="I78" s="16"/>
      <c r="J78" s="16" t="str">
        <f>IF(Таблица1[[#This Row],[Количество к возврату]] = "","0",Таблица1[[#This Row],[Цена]]*Таблица1[[#This Row],[Количество к возврату]])</f>
        <v>0</v>
      </c>
      <c r="K78" s="22">
        <f>Таблица1[[#This Row],[Стоимость]]-Таблица1[[#This Row],[Стоимость возврата]]</f>
        <v>4320</v>
      </c>
      <c r="L78" s="33">
        <f>Таблица1[[#This Row],[Количество]]-Таблица1[[#This Row],[Количество к возврату]]</f>
        <v>80</v>
      </c>
      <c r="M78" s="150">
        <f>WEEKDAY(Таблица1[[#This Row],[Дата]],2)</f>
        <v>1</v>
      </c>
    </row>
    <row r="79" spans="1:13" x14ac:dyDescent="0.25">
      <c r="A79" s="32">
        <v>42941</v>
      </c>
      <c r="B79" s="16" t="s">
        <v>18</v>
      </c>
      <c r="C79" s="16" t="s">
        <v>3</v>
      </c>
      <c r="D79" s="12" t="s">
        <v>27</v>
      </c>
      <c r="E79" s="16">
        <v>40</v>
      </c>
      <c r="F79" s="16">
        <f>VLOOKUP(Таблица1[[#This Row],[Наименование Товара]],'Информация о товаарах'!$A$2:$C$9,3,FALSE)</f>
        <v>65</v>
      </c>
      <c r="G79" s="17">
        <f>Таблица1[[#This Row],[Количество]]*Таблица1[[#This Row],[Цена]]</f>
        <v>2600</v>
      </c>
      <c r="H79" s="16"/>
      <c r="I79" s="16"/>
      <c r="J79" s="16" t="str">
        <f>IF(Таблица1[[#This Row],[Количество к возврату]] = "","0",Таблица1[[#This Row],[Цена]]*Таблица1[[#This Row],[Количество к возврату]])</f>
        <v>0</v>
      </c>
      <c r="K79" s="22">
        <f>Таблица1[[#This Row],[Стоимость]]-Таблица1[[#This Row],[Стоимость возврата]]</f>
        <v>2600</v>
      </c>
      <c r="L79" s="33">
        <f>Таблица1[[#This Row],[Количество]]-Таблица1[[#This Row],[Количество к возврату]]</f>
        <v>40</v>
      </c>
      <c r="M79" s="150">
        <f>WEEKDAY(Таблица1[[#This Row],[Дата]],2)</f>
        <v>2</v>
      </c>
    </row>
    <row r="80" spans="1:13" x14ac:dyDescent="0.25">
      <c r="A80" s="32">
        <v>42941</v>
      </c>
      <c r="B80" s="16" t="s">
        <v>18</v>
      </c>
      <c r="C80" s="16" t="s">
        <v>3</v>
      </c>
      <c r="D80" s="12" t="s">
        <v>27</v>
      </c>
      <c r="E80" s="16">
        <v>40</v>
      </c>
      <c r="F80" s="16">
        <f>VLOOKUP(Таблица1[[#This Row],[Наименование Товара]],'Информация о товаарах'!$A$2:$C$9,3,FALSE)</f>
        <v>65</v>
      </c>
      <c r="G80" s="17">
        <f>Таблица1[[#This Row],[Количество]]*Таблица1[[#This Row],[Цена]]</f>
        <v>2600</v>
      </c>
      <c r="H80" s="16"/>
      <c r="I80" s="16"/>
      <c r="J80" s="16" t="str">
        <f>IF(Таблица1[[#This Row],[Количество к возврату]] = "","0",Таблица1[[#This Row],[Цена]]*Таблица1[[#This Row],[Количество к возврату]])</f>
        <v>0</v>
      </c>
      <c r="K80" s="22">
        <f>Таблица1[[#This Row],[Стоимость]]-Таблица1[[#This Row],[Стоимость возврата]]</f>
        <v>2600</v>
      </c>
      <c r="L80" s="33">
        <f>Таблица1[[#This Row],[Количество]]-Таблица1[[#This Row],[Количество к возврату]]</f>
        <v>40</v>
      </c>
      <c r="M80" s="150">
        <f>WEEKDAY(Таблица1[[#This Row],[Дата]],2)</f>
        <v>2</v>
      </c>
    </row>
    <row r="81" spans="1:13" x14ac:dyDescent="0.25">
      <c r="A81" s="32">
        <v>42942</v>
      </c>
      <c r="B81" s="16" t="s">
        <v>17</v>
      </c>
      <c r="C81" s="16" t="s">
        <v>3</v>
      </c>
      <c r="D81" s="16" t="s">
        <v>28</v>
      </c>
      <c r="E81" s="16">
        <v>70</v>
      </c>
      <c r="F81" s="16">
        <f>VLOOKUP(Таблица1[[#This Row],[Наименование Товара]],'Информация о товаарах'!$A$2:$C$9,3,FALSE)</f>
        <v>87</v>
      </c>
      <c r="G81" s="17">
        <f>Таблица1[[#This Row],[Количество]]*Таблица1[[#This Row],[Цена]]</f>
        <v>6090</v>
      </c>
      <c r="H81" s="15">
        <v>42948</v>
      </c>
      <c r="I81" s="16">
        <v>10</v>
      </c>
      <c r="J81" s="16">
        <f>IF(Таблица1[[#This Row],[Количество к возврату]] = "","0",Таблица1[[#This Row],[Цена]]*Таблица1[[#This Row],[Количество к возврату]])</f>
        <v>870</v>
      </c>
      <c r="K81" s="22">
        <f>Таблица1[[#This Row],[Стоимость]]-Таблица1[[#This Row],[Стоимость возврата]]</f>
        <v>5220</v>
      </c>
      <c r="L81" s="33">
        <f>Таблица1[[#This Row],[Количество]]-Таблица1[[#This Row],[Количество к возврату]]</f>
        <v>60</v>
      </c>
      <c r="M81" s="150">
        <f>WEEKDAY(Таблица1[[#This Row],[Дата]],2)</f>
        <v>3</v>
      </c>
    </row>
    <row r="82" spans="1:13" x14ac:dyDescent="0.25">
      <c r="A82" s="32">
        <v>42942</v>
      </c>
      <c r="B82" s="16" t="s">
        <v>17</v>
      </c>
      <c r="C82" s="16" t="s">
        <v>3</v>
      </c>
      <c r="D82" s="16" t="s">
        <v>28</v>
      </c>
      <c r="E82" s="16">
        <v>70</v>
      </c>
      <c r="F82" s="16">
        <f>VLOOKUP(Таблица1[[#This Row],[Наименование Товара]],'Информация о товаарах'!$A$2:$C$9,3,FALSE)</f>
        <v>87</v>
      </c>
      <c r="G82" s="17">
        <f>Таблица1[[#This Row],[Количество]]*Таблица1[[#This Row],[Цена]]</f>
        <v>6090</v>
      </c>
      <c r="H82" s="16"/>
      <c r="I82" s="16"/>
      <c r="J82" s="16" t="str">
        <f>IF(Таблица1[[#This Row],[Количество к возврату]] = "","0",Таблица1[[#This Row],[Цена]]*Таблица1[[#This Row],[Количество к возврату]])</f>
        <v>0</v>
      </c>
      <c r="K82" s="22">
        <f>Таблица1[[#This Row],[Стоимость]]-Таблица1[[#This Row],[Стоимость возврата]]</f>
        <v>6090</v>
      </c>
      <c r="L82" s="33">
        <f>Таблица1[[#This Row],[Количество]]-Таблица1[[#This Row],[Количество к возврату]]</f>
        <v>70</v>
      </c>
      <c r="M82" s="150">
        <f>WEEKDAY(Таблица1[[#This Row],[Дата]],2)</f>
        <v>3</v>
      </c>
    </row>
    <row r="83" spans="1:13" x14ac:dyDescent="0.25">
      <c r="A83" s="32">
        <v>42943</v>
      </c>
      <c r="B83" s="16" t="s">
        <v>20</v>
      </c>
      <c r="C83" s="16" t="s">
        <v>2</v>
      </c>
      <c r="D83" s="12" t="s">
        <v>61</v>
      </c>
      <c r="E83" s="16">
        <v>170</v>
      </c>
      <c r="F83" s="16">
        <f>VLOOKUP(Таблица1[[#This Row],[Наименование Товара]],'Информация о товаарах'!$A$2:$C$9,3,FALSE)</f>
        <v>110</v>
      </c>
      <c r="G83" s="17">
        <f>Таблица1[[#This Row],[Количество]]*Таблица1[[#This Row],[Цена]]</f>
        <v>18700</v>
      </c>
      <c r="H83" s="15">
        <v>41850</v>
      </c>
      <c r="I83" s="16">
        <v>40</v>
      </c>
      <c r="J83" s="16">
        <f>IF(Таблица1[[#This Row],[Количество к возврату]] = "","0",Таблица1[[#This Row],[Цена]]*Таблица1[[#This Row],[Количество к возврату]])</f>
        <v>4400</v>
      </c>
      <c r="K83" s="22">
        <f>Таблица1[[#This Row],[Стоимость]]-Таблица1[[#This Row],[Стоимость возврата]]</f>
        <v>14300</v>
      </c>
      <c r="L83" s="33">
        <f>Таблица1[[#This Row],[Количество]]-Таблица1[[#This Row],[Количество к возврату]]</f>
        <v>130</v>
      </c>
      <c r="M83" s="150">
        <f>WEEKDAY(Таблица1[[#This Row],[Дата]],2)</f>
        <v>4</v>
      </c>
    </row>
    <row r="84" spans="1:13" x14ac:dyDescent="0.25">
      <c r="A84" s="32">
        <v>42943</v>
      </c>
      <c r="B84" s="16" t="s">
        <v>20</v>
      </c>
      <c r="C84" s="16" t="s">
        <v>2</v>
      </c>
      <c r="D84" s="12" t="s">
        <v>61</v>
      </c>
      <c r="E84" s="16">
        <v>170</v>
      </c>
      <c r="F84" s="16">
        <f>VLOOKUP(Таблица1[[#This Row],[Наименование Товара]],'Информация о товаарах'!$A$2:$C$9,3,FALSE)</f>
        <v>110</v>
      </c>
      <c r="G84" s="17">
        <f>Таблица1[[#This Row],[Количество]]*Таблица1[[#This Row],[Цена]]</f>
        <v>18700</v>
      </c>
      <c r="H84" s="16"/>
      <c r="I84" s="16"/>
      <c r="J84" s="16" t="str">
        <f>IF(Таблица1[[#This Row],[Количество к возврату]] = "","0",Таблица1[[#This Row],[Цена]]*Таблица1[[#This Row],[Количество к возврату]])</f>
        <v>0</v>
      </c>
      <c r="K84" s="22">
        <f>Таблица1[[#This Row],[Стоимость]]-Таблица1[[#This Row],[Стоимость возврата]]</f>
        <v>18700</v>
      </c>
      <c r="L84" s="33">
        <f>Таблица1[[#This Row],[Количество]]-Таблица1[[#This Row],[Количество к возврату]]</f>
        <v>170</v>
      </c>
      <c r="M84" s="150">
        <f>WEEKDAY(Таблица1[[#This Row],[Дата]],2)</f>
        <v>4</v>
      </c>
    </row>
    <row r="85" spans="1:13" x14ac:dyDescent="0.25">
      <c r="A85" s="32">
        <v>42944</v>
      </c>
      <c r="B85" s="16" t="s">
        <v>17</v>
      </c>
      <c r="C85" s="16" t="s">
        <v>2</v>
      </c>
      <c r="D85" s="12" t="s">
        <v>62</v>
      </c>
      <c r="E85" s="16">
        <v>49</v>
      </c>
      <c r="F85" s="16">
        <f>VLOOKUP(Таблица1[[#This Row],[Наименование Товара]],'Информация о товаарах'!$A$2:$C$9,3,FALSE)</f>
        <v>136</v>
      </c>
      <c r="G85" s="17">
        <f>Таблица1[[#This Row],[Количество]]*Таблица1[[#This Row],[Цена]]</f>
        <v>6664</v>
      </c>
      <c r="H85" s="16"/>
      <c r="I85" s="16"/>
      <c r="J85" s="16" t="str">
        <f>IF(Таблица1[[#This Row],[Количество к возврату]] = "","0",Таблица1[[#This Row],[Цена]]*Таблица1[[#This Row],[Количество к возврату]])</f>
        <v>0</v>
      </c>
      <c r="K85" s="22">
        <f>Таблица1[[#This Row],[Стоимость]]-Таблица1[[#This Row],[Стоимость возврата]]</f>
        <v>6664</v>
      </c>
      <c r="L85" s="33">
        <f>Таблица1[[#This Row],[Количество]]-Таблица1[[#This Row],[Количество к возврату]]</f>
        <v>49</v>
      </c>
      <c r="M85" s="150">
        <f>WEEKDAY(Таблица1[[#This Row],[Дата]],2)</f>
        <v>5</v>
      </c>
    </row>
    <row r="86" spans="1:13" x14ac:dyDescent="0.25">
      <c r="A86" s="32">
        <v>42945</v>
      </c>
      <c r="B86" s="16" t="s">
        <v>16</v>
      </c>
      <c r="C86" s="16" t="s">
        <v>2</v>
      </c>
      <c r="D86" s="12" t="s">
        <v>7</v>
      </c>
      <c r="E86" s="16">
        <v>120</v>
      </c>
      <c r="F86" s="16">
        <f>VLOOKUP(Таблица1[[#This Row],[Наименование Товара]],'Информация о товаарах'!$A$2:$C$9,3,FALSE)</f>
        <v>25</v>
      </c>
      <c r="G86" s="17">
        <f>Таблица1[[#This Row],[Количество]]*Таблица1[[#This Row],[Цена]]</f>
        <v>3000</v>
      </c>
      <c r="H86" s="16"/>
      <c r="I86" s="16"/>
      <c r="J86" s="16" t="str">
        <f>IF(Таблица1[[#This Row],[Количество к возврату]] = "","0",Таблица1[[#This Row],[Цена]]*Таблица1[[#This Row],[Количество к возврату]])</f>
        <v>0</v>
      </c>
      <c r="K86" s="22">
        <f>Таблица1[[#This Row],[Стоимость]]-Таблица1[[#This Row],[Стоимость возврата]]</f>
        <v>3000</v>
      </c>
      <c r="L86" s="33">
        <f>Таблица1[[#This Row],[Количество]]-Таблица1[[#This Row],[Количество к возврату]]</f>
        <v>120</v>
      </c>
      <c r="M86" s="150">
        <f>WEEKDAY(Таблица1[[#This Row],[Дата]],2)</f>
        <v>6</v>
      </c>
    </row>
    <row r="87" spans="1:13" x14ac:dyDescent="0.25">
      <c r="A87" s="32">
        <v>42956</v>
      </c>
      <c r="B87" s="16" t="s">
        <v>18</v>
      </c>
      <c r="C87" s="16" t="s">
        <v>4</v>
      </c>
      <c r="D87" s="12" t="s">
        <v>9</v>
      </c>
      <c r="E87" s="16">
        <v>100</v>
      </c>
      <c r="F87" s="16">
        <f>VLOOKUP(Таблица1[[#This Row],[Наименование Товара]],'Информация о товаарах'!$A$2:$C$9,3,FALSE)</f>
        <v>32</v>
      </c>
      <c r="G87" s="17">
        <f>Таблица1[[#This Row],[Количество]]*Таблица1[[#This Row],[Цена]]</f>
        <v>3200</v>
      </c>
      <c r="H87" s="16"/>
      <c r="I87" s="16"/>
      <c r="J87" s="16" t="str">
        <f>IF(Таблица1[[#This Row],[Количество к возврату]] = "","0",Таблица1[[#This Row],[Цена]]*Таблица1[[#This Row],[Количество к возврату]])</f>
        <v>0</v>
      </c>
      <c r="K87" s="22">
        <f>Таблица1[[#This Row],[Стоимость]]-Таблица1[[#This Row],[Стоимость возврата]]</f>
        <v>3200</v>
      </c>
      <c r="L87" s="33">
        <f>Таблица1[[#This Row],[Количество]]-Таблица1[[#This Row],[Количество к возврату]]</f>
        <v>100</v>
      </c>
      <c r="M87" s="150">
        <f>WEEKDAY(Таблица1[[#This Row],[Дата]],2)</f>
        <v>3</v>
      </c>
    </row>
    <row r="88" spans="1:13" x14ac:dyDescent="0.25">
      <c r="A88" s="32">
        <v>42957</v>
      </c>
      <c r="B88" s="16" t="s">
        <v>19</v>
      </c>
      <c r="C88" s="16" t="s">
        <v>3</v>
      </c>
      <c r="D88" s="12" t="s">
        <v>10</v>
      </c>
      <c r="E88" s="16">
        <v>50</v>
      </c>
      <c r="F88" s="16">
        <f>VLOOKUP(Таблица1[[#This Row],[Наименование Товара]],'Информация о товаарах'!$A$2:$C$9,3,FALSE)</f>
        <v>45</v>
      </c>
      <c r="G88" s="17">
        <f>Таблица1[[#This Row],[Количество]]*Таблица1[[#This Row],[Цена]]</f>
        <v>2250</v>
      </c>
      <c r="H88" s="15">
        <v>42959</v>
      </c>
      <c r="I88" s="16">
        <v>10</v>
      </c>
      <c r="J88" s="16">
        <f>IF(Таблица1[[#This Row],[Количество к возврату]] = "","0",Таблица1[[#This Row],[Цена]]*Таблица1[[#This Row],[Количество к возврату]])</f>
        <v>450</v>
      </c>
      <c r="K88" s="22">
        <f>Таблица1[[#This Row],[Стоимость]]-Таблица1[[#This Row],[Стоимость возврата]]</f>
        <v>1800</v>
      </c>
      <c r="L88" s="33">
        <f>Таблица1[[#This Row],[Количество]]-Таблица1[[#This Row],[Количество к возврату]]</f>
        <v>40</v>
      </c>
      <c r="M88" s="150">
        <f>WEEKDAY(Таблица1[[#This Row],[Дата]],2)</f>
        <v>4</v>
      </c>
    </row>
    <row r="89" spans="1:13" x14ac:dyDescent="0.25">
      <c r="A89" s="32">
        <v>42958</v>
      </c>
      <c r="B89" s="16" t="s">
        <v>18</v>
      </c>
      <c r="C89" s="16" t="s">
        <v>2</v>
      </c>
      <c r="D89" s="12" t="s">
        <v>26</v>
      </c>
      <c r="E89" s="16">
        <v>100</v>
      </c>
      <c r="F89" s="16">
        <f>VLOOKUP(Таблица1[[#This Row],[Наименование Товара]],'Информация о товаарах'!$A$2:$C$9,3,FALSE)</f>
        <v>54</v>
      </c>
      <c r="G89" s="17">
        <f>Таблица1[[#This Row],[Количество]]*Таблица1[[#This Row],[Цена]]</f>
        <v>5400</v>
      </c>
      <c r="H89" s="16"/>
      <c r="I89" s="16"/>
      <c r="J89" s="16" t="str">
        <f>IF(Таблица1[[#This Row],[Количество к возврату]] = "","0",Таблица1[[#This Row],[Цена]]*Таблица1[[#This Row],[Количество к возврату]])</f>
        <v>0</v>
      </c>
      <c r="K89" s="22">
        <f>Таблица1[[#This Row],[Стоимость]]-Таблица1[[#This Row],[Стоимость возврата]]</f>
        <v>5400</v>
      </c>
      <c r="L89" s="33">
        <f>Таблица1[[#This Row],[Количество]]-Таблица1[[#This Row],[Количество к возврату]]</f>
        <v>100</v>
      </c>
      <c r="M89" s="150">
        <f>WEEKDAY(Таблица1[[#This Row],[Дата]],2)</f>
        <v>5</v>
      </c>
    </row>
    <row r="90" spans="1:13" x14ac:dyDescent="0.25">
      <c r="A90" s="32">
        <v>42959</v>
      </c>
      <c r="B90" s="16" t="s">
        <v>17</v>
      </c>
      <c r="C90" s="16" t="s">
        <v>2</v>
      </c>
      <c r="D90" s="12" t="s">
        <v>27</v>
      </c>
      <c r="E90" s="16">
        <v>180</v>
      </c>
      <c r="F90" s="16">
        <f>VLOOKUP(Таблица1[[#This Row],[Наименование Товара]],'Информация о товаарах'!$A$2:$C$9,3,FALSE)</f>
        <v>65</v>
      </c>
      <c r="G90" s="17">
        <f>Таблица1[[#This Row],[Количество]]*Таблица1[[#This Row],[Цена]]</f>
        <v>11700</v>
      </c>
      <c r="H90" s="16"/>
      <c r="I90" s="16"/>
      <c r="J90" s="16" t="str">
        <f>IF(Таблица1[[#This Row],[Количество к возврату]] = "","0",Таблица1[[#This Row],[Цена]]*Таблица1[[#This Row],[Количество к возврату]])</f>
        <v>0</v>
      </c>
      <c r="K90" s="22">
        <f>Таблица1[[#This Row],[Стоимость]]-Таблица1[[#This Row],[Стоимость возврата]]</f>
        <v>11700</v>
      </c>
      <c r="L90" s="33">
        <f>Таблица1[[#This Row],[Количество]]-Таблица1[[#This Row],[Количество к возврату]]</f>
        <v>180</v>
      </c>
      <c r="M90" s="150">
        <f>WEEKDAY(Таблица1[[#This Row],[Дата]],2)</f>
        <v>6</v>
      </c>
    </row>
    <row r="91" spans="1:13" x14ac:dyDescent="0.25">
      <c r="A91" s="32">
        <v>42960</v>
      </c>
      <c r="B91" s="16" t="s">
        <v>20</v>
      </c>
      <c r="C91" s="16" t="s">
        <v>4</v>
      </c>
      <c r="D91" s="16" t="s">
        <v>28</v>
      </c>
      <c r="E91" s="16">
        <v>170</v>
      </c>
      <c r="F91" s="16">
        <f>VLOOKUP(Таблица1[[#This Row],[Наименование Товара]],'Информация о товаарах'!$A$2:$C$9,3,FALSE)</f>
        <v>87</v>
      </c>
      <c r="G91" s="17">
        <f>Таблица1[[#This Row],[Количество]]*Таблица1[[#This Row],[Цена]]</f>
        <v>14790</v>
      </c>
      <c r="H91" s="16"/>
      <c r="I91" s="16"/>
      <c r="J91" s="16" t="str">
        <f>IF(Таблица1[[#This Row],[Количество к возврату]] = "","0",Таблица1[[#This Row],[Цена]]*Таблица1[[#This Row],[Количество к возврату]])</f>
        <v>0</v>
      </c>
      <c r="K91" s="22">
        <f>Таблица1[[#This Row],[Стоимость]]-Таблица1[[#This Row],[Стоимость возврата]]</f>
        <v>14790</v>
      </c>
      <c r="L91" s="33">
        <f>Таблица1[[#This Row],[Количество]]-Таблица1[[#This Row],[Количество к возврату]]</f>
        <v>170</v>
      </c>
      <c r="M91" s="150">
        <f>WEEKDAY(Таблица1[[#This Row],[Дата]],2)</f>
        <v>7</v>
      </c>
    </row>
    <row r="92" spans="1:13" x14ac:dyDescent="0.25">
      <c r="A92" s="32">
        <v>42961</v>
      </c>
      <c r="B92" s="16" t="s">
        <v>17</v>
      </c>
      <c r="C92" s="16" t="s">
        <v>3</v>
      </c>
      <c r="D92" s="12" t="s">
        <v>61</v>
      </c>
      <c r="E92" s="16">
        <v>80</v>
      </c>
      <c r="F92" s="16">
        <f>VLOOKUP(Таблица1[[#This Row],[Наименование Товара]],'Информация о товаарах'!$A$2:$C$9,3,FALSE)</f>
        <v>110</v>
      </c>
      <c r="G92" s="17">
        <f>Таблица1[[#This Row],[Количество]]*Таблица1[[#This Row],[Цена]]</f>
        <v>8800</v>
      </c>
      <c r="H92" s="16"/>
      <c r="I92" s="16"/>
      <c r="J92" s="16" t="str">
        <f>IF(Таблица1[[#This Row],[Количество к возврату]] = "","0",Таблица1[[#This Row],[Цена]]*Таблица1[[#This Row],[Количество к возврату]])</f>
        <v>0</v>
      </c>
      <c r="K92" s="22">
        <f>Таблица1[[#This Row],[Стоимость]]-Таблица1[[#This Row],[Стоимость возврата]]</f>
        <v>8800</v>
      </c>
      <c r="L92" s="33">
        <f>Таблица1[[#This Row],[Количество]]-Таблица1[[#This Row],[Количество к возврату]]</f>
        <v>80</v>
      </c>
      <c r="M92" s="150">
        <f>WEEKDAY(Таблица1[[#This Row],[Дата]],2)</f>
        <v>1</v>
      </c>
    </row>
    <row r="93" spans="1:13" x14ac:dyDescent="0.25">
      <c r="A93" s="32">
        <v>42961</v>
      </c>
      <c r="B93" s="16" t="s">
        <v>17</v>
      </c>
      <c r="C93" s="16" t="s">
        <v>3</v>
      </c>
      <c r="D93" s="12" t="s">
        <v>61</v>
      </c>
      <c r="E93" s="16">
        <v>80</v>
      </c>
      <c r="F93" s="16">
        <f>VLOOKUP(Таблица1[[#This Row],[Наименование Товара]],'Информация о товаарах'!$A$2:$C$9,3,FALSE)</f>
        <v>110</v>
      </c>
      <c r="G93" s="17">
        <f>Таблица1[[#This Row],[Количество]]*Таблица1[[#This Row],[Цена]]</f>
        <v>8800</v>
      </c>
      <c r="H93" s="15">
        <v>42967</v>
      </c>
      <c r="I93" s="16">
        <v>20</v>
      </c>
      <c r="J93" s="16">
        <f>IF(Таблица1[[#This Row],[Количество к возврату]] = "","0",Таблица1[[#This Row],[Цена]]*Таблица1[[#This Row],[Количество к возврату]])</f>
        <v>2200</v>
      </c>
      <c r="K93" s="22">
        <f>Таблица1[[#This Row],[Стоимость]]-Таблица1[[#This Row],[Стоимость возврата]]</f>
        <v>6600</v>
      </c>
      <c r="L93" s="33">
        <f>Таблица1[[#This Row],[Количество]]-Таблица1[[#This Row],[Количество к возврату]]</f>
        <v>60</v>
      </c>
      <c r="M93" s="150">
        <f>WEEKDAY(Таблица1[[#This Row],[Дата]],2)</f>
        <v>1</v>
      </c>
    </row>
    <row r="94" spans="1:13" x14ac:dyDescent="0.25">
      <c r="A94" s="32">
        <v>42962</v>
      </c>
      <c r="B94" s="16" t="s">
        <v>16</v>
      </c>
      <c r="C94" s="16" t="s">
        <v>3</v>
      </c>
      <c r="D94" s="12" t="s">
        <v>62</v>
      </c>
      <c r="E94" s="16">
        <v>60</v>
      </c>
      <c r="F94" s="16">
        <f>VLOOKUP(Таблица1[[#This Row],[Наименование Товара]],'Информация о товаарах'!$A$2:$C$9,3,FALSE)</f>
        <v>136</v>
      </c>
      <c r="G94" s="17">
        <f>Таблица1[[#This Row],[Количество]]*Таблица1[[#This Row],[Цена]]</f>
        <v>8160</v>
      </c>
      <c r="H94" s="16"/>
      <c r="I94" s="16"/>
      <c r="J94" s="16" t="str">
        <f>IF(Таблица1[[#This Row],[Количество к возврату]] = "","0",Таблица1[[#This Row],[Цена]]*Таблица1[[#This Row],[Количество к возврату]])</f>
        <v>0</v>
      </c>
      <c r="K94" s="22">
        <f>Таблица1[[#This Row],[Стоимость]]-Таблица1[[#This Row],[Стоимость возврата]]</f>
        <v>8160</v>
      </c>
      <c r="L94" s="33">
        <f>Таблица1[[#This Row],[Количество]]-Таблица1[[#This Row],[Количество к возврату]]</f>
        <v>60</v>
      </c>
      <c r="M94" s="150">
        <f>WEEKDAY(Таблица1[[#This Row],[Дата]],2)</f>
        <v>2</v>
      </c>
    </row>
    <row r="95" spans="1:13" x14ac:dyDescent="0.25">
      <c r="A95" s="32">
        <v>42962</v>
      </c>
      <c r="B95" s="16" t="s">
        <v>16</v>
      </c>
      <c r="C95" s="16" t="s">
        <v>3</v>
      </c>
      <c r="D95" s="12" t="s">
        <v>61</v>
      </c>
      <c r="E95" s="16">
        <v>60</v>
      </c>
      <c r="F95" s="16">
        <f>VLOOKUP(Таблица1[[#This Row],[Наименование Товара]],'Информация о товаарах'!$A$2:$C$9,3,FALSE)</f>
        <v>110</v>
      </c>
      <c r="G95" s="17">
        <f>Таблица1[[#This Row],[Количество]]*Таблица1[[#This Row],[Цена]]</f>
        <v>6600</v>
      </c>
      <c r="H95" s="16"/>
      <c r="I95" s="16"/>
      <c r="J95" s="16" t="str">
        <f>IF(Таблица1[[#This Row],[Количество к возврату]] = "","0",Таблица1[[#This Row],[Цена]]*Таблица1[[#This Row],[Количество к возврату]])</f>
        <v>0</v>
      </c>
      <c r="K95" s="22">
        <f>Таблица1[[#This Row],[Стоимость]]-Таблица1[[#This Row],[Стоимость возврата]]</f>
        <v>6600</v>
      </c>
      <c r="L95" s="33">
        <f>Таблица1[[#This Row],[Количество]]-Таблица1[[#This Row],[Количество к возврату]]</f>
        <v>60</v>
      </c>
      <c r="M95" s="150">
        <f>WEEKDAY(Таблица1[[#This Row],[Дата]],2)</f>
        <v>2</v>
      </c>
    </row>
    <row r="96" spans="1:13" x14ac:dyDescent="0.25">
      <c r="A96" s="32">
        <v>42963</v>
      </c>
      <c r="B96" s="16" t="s">
        <v>18</v>
      </c>
      <c r="C96" s="16" t="s">
        <v>3</v>
      </c>
      <c r="D96" s="12" t="s">
        <v>7</v>
      </c>
      <c r="E96" s="16">
        <v>130</v>
      </c>
      <c r="F96" s="16">
        <f>VLOOKUP(Таблица1[[#This Row],[Наименование Товара]],'Информация о товаарах'!$A$2:$C$9,3,FALSE)</f>
        <v>25</v>
      </c>
      <c r="G96" s="17">
        <f>Таблица1[[#This Row],[Количество]]*Таблица1[[#This Row],[Цена]]</f>
        <v>3250</v>
      </c>
      <c r="H96" s="15">
        <v>42967</v>
      </c>
      <c r="I96" s="16">
        <v>40</v>
      </c>
      <c r="J96" s="16">
        <f>IF(Таблица1[[#This Row],[Количество к возврату]] = "","0",Таблица1[[#This Row],[Цена]]*Таблица1[[#This Row],[Количество к возврату]])</f>
        <v>1000</v>
      </c>
      <c r="K96" s="22">
        <f>Таблица1[[#This Row],[Стоимость]]-Таблица1[[#This Row],[Стоимость возврата]]</f>
        <v>2250</v>
      </c>
      <c r="L96" s="33">
        <f>Таблица1[[#This Row],[Количество]]-Таблица1[[#This Row],[Количество к возврату]]</f>
        <v>90</v>
      </c>
      <c r="M96" s="150">
        <f>WEEKDAY(Таблица1[[#This Row],[Дата]],2)</f>
        <v>3</v>
      </c>
    </row>
    <row r="97" spans="1:13" x14ac:dyDescent="0.25">
      <c r="A97" s="32">
        <v>42963</v>
      </c>
      <c r="B97" s="16" t="s">
        <v>18</v>
      </c>
      <c r="C97" s="16" t="s">
        <v>3</v>
      </c>
      <c r="D97" s="12" t="s">
        <v>9</v>
      </c>
      <c r="E97" s="16">
        <v>130</v>
      </c>
      <c r="F97" s="16">
        <f>VLOOKUP(Таблица1[[#This Row],[Наименование Товара]],'Информация о товаарах'!$A$2:$C$9,3,FALSE)</f>
        <v>32</v>
      </c>
      <c r="G97" s="17">
        <f>Таблица1[[#This Row],[Количество]]*Таблица1[[#This Row],[Цена]]</f>
        <v>4160</v>
      </c>
      <c r="H97" s="16"/>
      <c r="I97" s="16"/>
      <c r="J97" s="16" t="str">
        <f>IF(Таблица1[[#This Row],[Количество к возврату]] = "","0",Таблица1[[#This Row],[Цена]]*Таблица1[[#This Row],[Количество к возврату]])</f>
        <v>0</v>
      </c>
      <c r="K97" s="22">
        <f>Таблица1[[#This Row],[Стоимость]]-Таблица1[[#This Row],[Стоимость возврата]]</f>
        <v>4160</v>
      </c>
      <c r="L97" s="33">
        <f>Таблица1[[#This Row],[Количество]]-Таблица1[[#This Row],[Количество к возврату]]</f>
        <v>130</v>
      </c>
      <c r="M97" s="150">
        <f>WEEKDAY(Таблица1[[#This Row],[Дата]],2)</f>
        <v>3</v>
      </c>
    </row>
    <row r="98" spans="1:13" x14ac:dyDescent="0.25">
      <c r="A98" s="32">
        <v>42964</v>
      </c>
      <c r="B98" s="16" t="s">
        <v>17</v>
      </c>
      <c r="C98" s="16" t="s">
        <v>4</v>
      </c>
      <c r="D98" s="12" t="s">
        <v>9</v>
      </c>
      <c r="E98" s="16">
        <v>56</v>
      </c>
      <c r="F98" s="16">
        <f>VLOOKUP(Таблица1[[#This Row],[Наименование Товара]],'Информация о товаарах'!$A$2:$C$9,3,FALSE)</f>
        <v>32</v>
      </c>
      <c r="G98" s="17">
        <f>Таблица1[[#This Row],[Количество]]*Таблица1[[#This Row],[Цена]]</f>
        <v>1792</v>
      </c>
      <c r="H98" s="16"/>
      <c r="I98" s="16"/>
      <c r="J98" s="16" t="str">
        <f>IF(Таблица1[[#This Row],[Количество к возврату]] = "","0",Таблица1[[#This Row],[Цена]]*Таблица1[[#This Row],[Количество к возврату]])</f>
        <v>0</v>
      </c>
      <c r="K98" s="22">
        <f>Таблица1[[#This Row],[Стоимость]]-Таблица1[[#This Row],[Стоимость возврата]]</f>
        <v>1792</v>
      </c>
      <c r="L98" s="33">
        <f>Таблица1[[#This Row],[Количество]]-Таблица1[[#This Row],[Количество к возврату]]</f>
        <v>56</v>
      </c>
      <c r="M98" s="150">
        <f>WEEKDAY(Таблица1[[#This Row],[Дата]],2)</f>
        <v>4</v>
      </c>
    </row>
    <row r="99" spans="1:13" x14ac:dyDescent="0.25">
      <c r="A99" s="32">
        <v>42964</v>
      </c>
      <c r="B99" s="16" t="s">
        <v>16</v>
      </c>
      <c r="C99" s="16" t="s">
        <v>4</v>
      </c>
      <c r="D99" s="16" t="s">
        <v>28</v>
      </c>
      <c r="E99" s="16">
        <v>56</v>
      </c>
      <c r="F99" s="16">
        <f>VLOOKUP(Таблица1[[#This Row],[Наименование Товара]],'Информация о товаарах'!$A$2:$C$9,3,FALSE)</f>
        <v>87</v>
      </c>
      <c r="G99" s="17">
        <f>Таблица1[[#This Row],[Количество]]*Таблица1[[#This Row],[Цена]]</f>
        <v>4872</v>
      </c>
      <c r="H99" s="16"/>
      <c r="I99" s="16"/>
      <c r="J99" s="16" t="str">
        <f>IF(Таблица1[[#This Row],[Количество к возврату]] = "","0",Таблица1[[#This Row],[Цена]]*Таблица1[[#This Row],[Количество к возврату]])</f>
        <v>0</v>
      </c>
      <c r="K99" s="22">
        <f>Таблица1[[#This Row],[Стоимость]]-Таблица1[[#This Row],[Стоимость возврата]]</f>
        <v>4872</v>
      </c>
      <c r="L99" s="33">
        <f>Таблица1[[#This Row],[Количество]]-Таблица1[[#This Row],[Количество к возврату]]</f>
        <v>56</v>
      </c>
      <c r="M99" s="150">
        <f>WEEKDAY(Таблица1[[#This Row],[Дата]],2)</f>
        <v>4</v>
      </c>
    </row>
    <row r="100" spans="1:13" x14ac:dyDescent="0.25">
      <c r="A100" s="32">
        <v>42965</v>
      </c>
      <c r="B100" s="16" t="s">
        <v>18</v>
      </c>
      <c r="C100" s="16" t="s">
        <v>4</v>
      </c>
      <c r="D100" s="12" t="s">
        <v>10</v>
      </c>
      <c r="E100" s="16">
        <v>135</v>
      </c>
      <c r="F100" s="16">
        <f>VLOOKUP(Таблица1[[#This Row],[Наименование Товара]],'Информация о товаарах'!$A$2:$C$9,3,FALSE)</f>
        <v>45</v>
      </c>
      <c r="G100" s="17">
        <f>Таблица1[[#This Row],[Количество]]*Таблица1[[#This Row],[Цена]]</f>
        <v>6075</v>
      </c>
      <c r="H100" s="15">
        <v>42969</v>
      </c>
      <c r="I100" s="16">
        <v>34</v>
      </c>
      <c r="J100" s="16">
        <f>IF(Таблица1[[#This Row],[Количество к возврату]] = "","0",Таблица1[[#This Row],[Цена]]*Таблица1[[#This Row],[Количество к возврату]])</f>
        <v>1530</v>
      </c>
      <c r="K100" s="22">
        <f>Таблица1[[#This Row],[Стоимость]]-Таблица1[[#This Row],[Стоимость возврата]]</f>
        <v>4545</v>
      </c>
      <c r="L100" s="33">
        <f>Таблица1[[#This Row],[Количество]]-Таблица1[[#This Row],[Количество к возврату]]</f>
        <v>101</v>
      </c>
      <c r="M100" s="150">
        <f>WEEKDAY(Таблица1[[#This Row],[Дата]],2)</f>
        <v>5</v>
      </c>
    </row>
    <row r="101" spans="1:13" x14ac:dyDescent="0.25">
      <c r="A101" s="32">
        <v>42965</v>
      </c>
      <c r="B101" s="16" t="s">
        <v>19</v>
      </c>
      <c r="C101" s="16" t="s">
        <v>4</v>
      </c>
      <c r="D101" s="12" t="s">
        <v>10</v>
      </c>
      <c r="E101" s="16">
        <v>135</v>
      </c>
      <c r="F101" s="16">
        <f>VLOOKUP(Таблица1[[#This Row],[Наименование Товара]],'Информация о товаарах'!$A$2:$C$9,3,FALSE)</f>
        <v>45</v>
      </c>
      <c r="G101" s="17">
        <f>Таблица1[[#This Row],[Количество]]*Таблица1[[#This Row],[Цена]]</f>
        <v>6075</v>
      </c>
      <c r="H101" s="16"/>
      <c r="I101" s="16"/>
      <c r="J101" s="16" t="str">
        <f>IF(Таблица1[[#This Row],[Количество к возврату]] = "","0",Таблица1[[#This Row],[Цена]]*Таблица1[[#This Row],[Количество к возврату]])</f>
        <v>0</v>
      </c>
      <c r="K101" s="22">
        <f>Таблица1[[#This Row],[Стоимость]]-Таблица1[[#This Row],[Стоимость возврата]]</f>
        <v>6075</v>
      </c>
      <c r="L101" s="33">
        <f>Таблица1[[#This Row],[Количество]]-Таблица1[[#This Row],[Количество к возврату]]</f>
        <v>135</v>
      </c>
      <c r="M101" s="150">
        <f>WEEKDAY(Таблица1[[#This Row],[Дата]],2)</f>
        <v>5</v>
      </c>
    </row>
    <row r="102" spans="1:13" x14ac:dyDescent="0.25">
      <c r="A102" s="32">
        <v>42966</v>
      </c>
      <c r="B102" s="16" t="s">
        <v>18</v>
      </c>
      <c r="C102" s="16" t="s">
        <v>3</v>
      </c>
      <c r="D102" s="12" t="s">
        <v>26</v>
      </c>
      <c r="E102" s="16">
        <v>80</v>
      </c>
      <c r="F102" s="16">
        <f>VLOOKUP(Таблица1[[#This Row],[Наименование Товара]],'Информация о товаарах'!$A$2:$C$9,3,FALSE)</f>
        <v>54</v>
      </c>
      <c r="G102" s="17">
        <f>Таблица1[[#This Row],[Количество]]*Таблица1[[#This Row],[Цена]]</f>
        <v>4320</v>
      </c>
      <c r="H102" s="16"/>
      <c r="I102" s="16"/>
      <c r="J102" s="16" t="str">
        <f>IF(Таблица1[[#This Row],[Количество к возврату]] = "","0",Таблица1[[#This Row],[Цена]]*Таблица1[[#This Row],[Количество к возврату]])</f>
        <v>0</v>
      </c>
      <c r="K102" s="22">
        <f>Таблица1[[#This Row],[Стоимость]]-Таблица1[[#This Row],[Стоимость возврата]]</f>
        <v>4320</v>
      </c>
      <c r="L102" s="33">
        <f>Таблица1[[#This Row],[Количество]]-Таблица1[[#This Row],[Количество к возврату]]</f>
        <v>80</v>
      </c>
      <c r="M102" s="150">
        <f>WEEKDAY(Таблица1[[#This Row],[Дата]],2)</f>
        <v>6</v>
      </c>
    </row>
    <row r="103" spans="1:13" x14ac:dyDescent="0.25">
      <c r="A103" s="32">
        <v>42966</v>
      </c>
      <c r="B103" s="16" t="s">
        <v>17</v>
      </c>
      <c r="C103" s="16" t="s">
        <v>3</v>
      </c>
      <c r="D103" s="12" t="s">
        <v>62</v>
      </c>
      <c r="E103" s="16">
        <v>80</v>
      </c>
      <c r="F103" s="16">
        <f>VLOOKUP(Таблица1[[#This Row],[Наименование Товара]],'Информация о товаарах'!$A$2:$C$9,3,FALSE)</f>
        <v>136</v>
      </c>
      <c r="G103" s="17">
        <f>Таблица1[[#This Row],[Количество]]*Таблица1[[#This Row],[Цена]]</f>
        <v>10880</v>
      </c>
      <c r="H103" s="16"/>
      <c r="I103" s="16"/>
      <c r="J103" s="16" t="str">
        <f>IF(Таблица1[[#This Row],[Количество к возврату]] = "","0",Таблица1[[#This Row],[Цена]]*Таблица1[[#This Row],[Количество к возврату]])</f>
        <v>0</v>
      </c>
      <c r="K103" s="22">
        <f>Таблица1[[#This Row],[Стоимость]]-Таблица1[[#This Row],[Стоимость возврата]]</f>
        <v>10880</v>
      </c>
      <c r="L103" s="33">
        <f>Таблица1[[#This Row],[Количество]]-Таблица1[[#This Row],[Количество к возврату]]</f>
        <v>80</v>
      </c>
      <c r="M103" s="150">
        <f>WEEKDAY(Таблица1[[#This Row],[Дата]],2)</f>
        <v>6</v>
      </c>
    </row>
    <row r="104" spans="1:13" x14ac:dyDescent="0.25">
      <c r="A104" s="32">
        <v>42967</v>
      </c>
      <c r="B104" s="16" t="s">
        <v>20</v>
      </c>
      <c r="C104" s="16" t="s">
        <v>2</v>
      </c>
      <c r="D104" s="12" t="s">
        <v>27</v>
      </c>
      <c r="E104" s="16">
        <v>80</v>
      </c>
      <c r="F104" s="16">
        <f>VLOOKUP(Таблица1[[#This Row],[Наименование Товара]],'Информация о товаарах'!$A$2:$C$9,3,FALSE)</f>
        <v>65</v>
      </c>
      <c r="G104" s="17">
        <f>Таблица1[[#This Row],[Количество]]*Таблица1[[#This Row],[Цена]]</f>
        <v>5200</v>
      </c>
      <c r="H104" s="16"/>
      <c r="I104" s="16"/>
      <c r="J104" s="16" t="str">
        <f>IF(Таблица1[[#This Row],[Количество к возврату]] = "","0",Таблица1[[#This Row],[Цена]]*Таблица1[[#This Row],[Количество к возврату]])</f>
        <v>0</v>
      </c>
      <c r="K104" s="22">
        <f>Таблица1[[#This Row],[Стоимость]]-Таблица1[[#This Row],[Стоимость возврата]]</f>
        <v>5200</v>
      </c>
      <c r="L104" s="33">
        <f>Таблица1[[#This Row],[Количество]]-Таблица1[[#This Row],[Количество к возврату]]</f>
        <v>80</v>
      </c>
      <c r="M104" s="150">
        <f>WEEKDAY(Таблица1[[#This Row],[Дата]],2)</f>
        <v>7</v>
      </c>
    </row>
    <row r="105" spans="1:13" x14ac:dyDescent="0.25">
      <c r="A105" s="32">
        <v>42967</v>
      </c>
      <c r="B105" s="16" t="s">
        <v>20</v>
      </c>
      <c r="C105" s="16" t="s">
        <v>2</v>
      </c>
      <c r="D105" s="12" t="s">
        <v>9</v>
      </c>
      <c r="E105" s="16">
        <v>80</v>
      </c>
      <c r="F105" s="16">
        <f>VLOOKUP(Таблица1[[#This Row],[Наименование Товара]],'Информация о товаарах'!$A$2:$C$9,3,FALSE)</f>
        <v>32</v>
      </c>
      <c r="G105" s="17">
        <f>Таблица1[[#This Row],[Количество]]*Таблица1[[#This Row],[Цена]]</f>
        <v>2560</v>
      </c>
      <c r="H105" s="16"/>
      <c r="I105" s="16"/>
      <c r="J105" s="16" t="str">
        <f>IF(Таблица1[[#This Row],[Количество к возврату]] = "","0",Таблица1[[#This Row],[Цена]]*Таблица1[[#This Row],[Количество к возврату]])</f>
        <v>0</v>
      </c>
      <c r="K105" s="22">
        <f>Таблица1[[#This Row],[Стоимость]]-Таблица1[[#This Row],[Стоимость возврата]]</f>
        <v>2560</v>
      </c>
      <c r="L105" s="33">
        <f>Таблица1[[#This Row],[Количество]]-Таблица1[[#This Row],[Количество к возврату]]</f>
        <v>80</v>
      </c>
      <c r="M105" s="150">
        <f>WEEKDAY(Таблица1[[#This Row],[Дата]],2)</f>
        <v>7</v>
      </c>
    </row>
    <row r="106" spans="1:13" x14ac:dyDescent="0.25">
      <c r="A106" s="32">
        <v>42968</v>
      </c>
      <c r="B106" s="16" t="s">
        <v>17</v>
      </c>
      <c r="C106" s="16" t="s">
        <v>2</v>
      </c>
      <c r="D106" s="16" t="s">
        <v>28</v>
      </c>
      <c r="E106" s="16">
        <v>150</v>
      </c>
      <c r="F106" s="16">
        <f>VLOOKUP(Таблица1[[#This Row],[Наименование Товара]],'Информация о товаарах'!$A$2:$C$9,3,FALSE)</f>
        <v>87</v>
      </c>
      <c r="G106" s="17">
        <f>Таблица1[[#This Row],[Количество]]*Таблица1[[#This Row],[Цена]]</f>
        <v>13050</v>
      </c>
      <c r="H106" s="16"/>
      <c r="I106" s="16"/>
      <c r="J106" s="16" t="str">
        <f>IF(Таблица1[[#This Row],[Количество к возврату]] = "","0",Таблица1[[#This Row],[Цена]]*Таблица1[[#This Row],[Количество к возврату]])</f>
        <v>0</v>
      </c>
      <c r="K106" s="22">
        <f>Таблица1[[#This Row],[Стоимость]]-Таблица1[[#This Row],[Стоимость возврата]]</f>
        <v>13050</v>
      </c>
      <c r="L106" s="33">
        <f>Таблица1[[#This Row],[Количество]]-Таблица1[[#This Row],[Количество к возврату]]</f>
        <v>150</v>
      </c>
      <c r="M106" s="150">
        <f>WEEKDAY(Таблица1[[#This Row],[Дата]],2)</f>
        <v>1</v>
      </c>
    </row>
    <row r="107" spans="1:13" x14ac:dyDescent="0.25">
      <c r="A107" s="32">
        <v>42968</v>
      </c>
      <c r="B107" s="16" t="s">
        <v>17</v>
      </c>
      <c r="C107" s="16" t="s">
        <v>2</v>
      </c>
      <c r="D107" s="12" t="s">
        <v>61</v>
      </c>
      <c r="E107" s="16">
        <v>150</v>
      </c>
      <c r="F107" s="16">
        <f>VLOOKUP(Таблица1[[#This Row],[Наименование Товара]],'Информация о товаарах'!$A$2:$C$9,3,FALSE)</f>
        <v>110</v>
      </c>
      <c r="G107" s="17">
        <f>Таблица1[[#This Row],[Количество]]*Таблица1[[#This Row],[Цена]]</f>
        <v>16500</v>
      </c>
      <c r="H107" s="15">
        <v>42972</v>
      </c>
      <c r="I107" s="16">
        <v>45</v>
      </c>
      <c r="J107" s="16">
        <f>IF(Таблица1[[#This Row],[Количество к возврату]] = "","0",Таблица1[[#This Row],[Цена]]*Таблица1[[#This Row],[Количество к возврату]])</f>
        <v>4950</v>
      </c>
      <c r="K107" s="22">
        <f>Таблица1[[#This Row],[Стоимость]]-Таблица1[[#This Row],[Стоимость возврата]]</f>
        <v>11550</v>
      </c>
      <c r="L107" s="33">
        <f>Таблица1[[#This Row],[Количество]]-Таблица1[[#This Row],[Количество к возврату]]</f>
        <v>105</v>
      </c>
      <c r="M107" s="150">
        <f>WEEKDAY(Таблица1[[#This Row],[Дата]],2)</f>
        <v>1</v>
      </c>
    </row>
    <row r="108" spans="1:13" x14ac:dyDescent="0.25">
      <c r="A108" s="32">
        <v>42969</v>
      </c>
      <c r="B108" s="16" t="s">
        <v>16</v>
      </c>
      <c r="C108" s="16" t="s">
        <v>4</v>
      </c>
      <c r="D108" s="12" t="s">
        <v>61</v>
      </c>
      <c r="E108" s="16">
        <v>135</v>
      </c>
      <c r="F108" s="16">
        <f>VLOOKUP(Таблица1[[#This Row],[Наименование Товара]],'Информация о товаарах'!$A$2:$C$9,3,FALSE)</f>
        <v>110</v>
      </c>
      <c r="G108" s="17">
        <f>Таблица1[[#This Row],[Количество]]*Таблица1[[#This Row],[Цена]]</f>
        <v>14850</v>
      </c>
      <c r="H108" s="15">
        <v>42971</v>
      </c>
      <c r="I108" s="16">
        <v>20</v>
      </c>
      <c r="J108" s="16">
        <f>IF(Таблица1[[#This Row],[Количество к возврату]] = "","0",Таблица1[[#This Row],[Цена]]*Таблица1[[#This Row],[Количество к возврату]])</f>
        <v>2200</v>
      </c>
      <c r="K108" s="22">
        <f>Таблица1[[#This Row],[Стоимость]]-Таблица1[[#This Row],[Стоимость возврата]]</f>
        <v>12650</v>
      </c>
      <c r="L108" s="33">
        <f>Таблица1[[#This Row],[Количество]]-Таблица1[[#This Row],[Количество к возврату]]</f>
        <v>115</v>
      </c>
      <c r="M108" s="150">
        <f>WEEKDAY(Таблица1[[#This Row],[Дата]],2)</f>
        <v>2</v>
      </c>
    </row>
    <row r="109" spans="1:13" x14ac:dyDescent="0.25">
      <c r="A109" s="32">
        <v>42969</v>
      </c>
      <c r="B109" s="16" t="s">
        <v>16</v>
      </c>
      <c r="C109" s="16" t="s">
        <v>4</v>
      </c>
      <c r="D109" s="12" t="s">
        <v>7</v>
      </c>
      <c r="E109" s="16">
        <v>135</v>
      </c>
      <c r="F109" s="16">
        <f>VLOOKUP(Таблица1[[#This Row],[Наименование Товара]],'Информация о товаарах'!$A$2:$C$9,3,FALSE)</f>
        <v>25</v>
      </c>
      <c r="G109" s="17">
        <f>Таблица1[[#This Row],[Количество]]*Таблица1[[#This Row],[Цена]]</f>
        <v>3375</v>
      </c>
      <c r="H109" s="16"/>
      <c r="I109" s="16"/>
      <c r="J109" s="16" t="str">
        <f>IF(Таблица1[[#This Row],[Количество к возврату]] = "","0",Таблица1[[#This Row],[Цена]]*Таблица1[[#This Row],[Количество к возврату]])</f>
        <v>0</v>
      </c>
      <c r="K109" s="22">
        <f>Таблица1[[#This Row],[Стоимость]]-Таблица1[[#This Row],[Стоимость возврата]]</f>
        <v>3375</v>
      </c>
      <c r="L109" s="33">
        <f>Таблица1[[#This Row],[Количество]]-Таблица1[[#This Row],[Количество к возврату]]</f>
        <v>135</v>
      </c>
      <c r="M109" s="150">
        <f>WEEKDAY(Таблица1[[#This Row],[Дата]],2)</f>
        <v>2</v>
      </c>
    </row>
    <row r="110" spans="1:13" x14ac:dyDescent="0.25">
      <c r="A110" s="32">
        <v>42970</v>
      </c>
      <c r="B110" s="16" t="s">
        <v>18</v>
      </c>
      <c r="C110" s="16" t="s">
        <v>3</v>
      </c>
      <c r="D110" s="12" t="s">
        <v>62</v>
      </c>
      <c r="E110" s="16">
        <v>80</v>
      </c>
      <c r="F110" s="16">
        <f>VLOOKUP(Таблица1[[#This Row],[Наименование Товара]],'Информация о товаарах'!$A$2:$C$9,3,FALSE)</f>
        <v>136</v>
      </c>
      <c r="G110" s="17">
        <f>Таблица1[[#This Row],[Количество]]*Таблица1[[#This Row],[Цена]]</f>
        <v>10880</v>
      </c>
      <c r="H110" s="16"/>
      <c r="I110" s="16"/>
      <c r="J110" s="16" t="str">
        <f>IF(Таблица1[[#This Row],[Количество к возврату]] = "","0",Таблица1[[#This Row],[Цена]]*Таблица1[[#This Row],[Количество к возврату]])</f>
        <v>0</v>
      </c>
      <c r="K110" s="22">
        <f>Таблица1[[#This Row],[Стоимость]]-Таблица1[[#This Row],[Стоимость возврата]]</f>
        <v>10880</v>
      </c>
      <c r="L110" s="33">
        <f>Таблица1[[#This Row],[Количество]]-Таблица1[[#This Row],[Количество к возврату]]</f>
        <v>80</v>
      </c>
      <c r="M110" s="150">
        <f>WEEKDAY(Таблица1[[#This Row],[Дата]],2)</f>
        <v>3</v>
      </c>
    </row>
    <row r="111" spans="1:13" x14ac:dyDescent="0.25">
      <c r="A111" s="32">
        <v>42970</v>
      </c>
      <c r="B111" s="16" t="s">
        <v>16</v>
      </c>
      <c r="C111" s="16" t="s">
        <v>3</v>
      </c>
      <c r="D111" s="12" t="s">
        <v>61</v>
      </c>
      <c r="E111" s="16">
        <v>80</v>
      </c>
      <c r="F111" s="16">
        <f>VLOOKUP(Таблица1[[#This Row],[Наименование Товара]],'Информация о товаарах'!$A$2:$C$9,3,FALSE)</f>
        <v>110</v>
      </c>
      <c r="G111" s="17">
        <f>Таблица1[[#This Row],[Количество]]*Таблица1[[#This Row],[Цена]]</f>
        <v>8800</v>
      </c>
      <c r="H111" s="15">
        <v>42972</v>
      </c>
      <c r="I111" s="16">
        <v>20</v>
      </c>
      <c r="J111" s="16">
        <f>IF(Таблица1[[#This Row],[Количество к возврату]] = "","0",Таблица1[[#This Row],[Цена]]*Таблица1[[#This Row],[Количество к возврату]])</f>
        <v>2200</v>
      </c>
      <c r="K111" s="22">
        <f>Таблица1[[#This Row],[Стоимость]]-Таблица1[[#This Row],[Стоимость возврата]]</f>
        <v>6600</v>
      </c>
      <c r="L111" s="33">
        <f>Таблица1[[#This Row],[Количество]]-Таблица1[[#This Row],[Количество к возврату]]</f>
        <v>60</v>
      </c>
      <c r="M111" s="150">
        <f>WEEKDAY(Таблица1[[#This Row],[Дата]],2)</f>
        <v>3</v>
      </c>
    </row>
    <row r="112" spans="1:13" x14ac:dyDescent="0.25">
      <c r="A112" s="32">
        <v>43346</v>
      </c>
      <c r="B112" s="16" t="s">
        <v>19</v>
      </c>
      <c r="C112" s="16" t="s">
        <v>2</v>
      </c>
      <c r="D112" s="12" t="s">
        <v>7</v>
      </c>
      <c r="E112" s="16">
        <v>80</v>
      </c>
      <c r="F112" s="16">
        <f>VLOOKUP(Таблица1[[#This Row],[Наименование Товара]],'Информация о товаарах'!$A$2:$C$9,3,FALSE)</f>
        <v>25</v>
      </c>
      <c r="G112" s="17">
        <f>Таблица1[[#This Row],[Количество]]*Таблица1[[#This Row],[Цена]]</f>
        <v>2000</v>
      </c>
      <c r="H112" s="16"/>
      <c r="I112" s="16"/>
      <c r="J112" s="16" t="str">
        <f>IF(Таблица1[[#This Row],[Количество к возврату]] = "","0",Таблица1[[#This Row],[Цена]]*Таблица1[[#This Row],[Количество к возврату]])</f>
        <v>0</v>
      </c>
      <c r="K112" s="22">
        <f>Таблица1[[#This Row],[Стоимость]]-Таблица1[[#This Row],[Стоимость возврата]]</f>
        <v>2000</v>
      </c>
      <c r="L112" s="33">
        <f>Таблица1[[#This Row],[Количество]]-Таблица1[[#This Row],[Количество к возврату]]</f>
        <v>80</v>
      </c>
      <c r="M112" s="150">
        <f>WEEKDAY(Таблица1[[#This Row],[Дата]],2)</f>
        <v>1</v>
      </c>
    </row>
    <row r="113" spans="1:13" x14ac:dyDescent="0.25">
      <c r="A113" s="32">
        <v>43346</v>
      </c>
      <c r="B113" s="16" t="s">
        <v>19</v>
      </c>
      <c r="C113" s="16" t="s">
        <v>2</v>
      </c>
      <c r="D113" s="12" t="s">
        <v>27</v>
      </c>
      <c r="E113" s="16">
        <v>80</v>
      </c>
      <c r="F113" s="16">
        <f>VLOOKUP(Таблица1[[#This Row],[Наименование Товара]],'Информация о товаарах'!$A$2:$C$9,3,FALSE)</f>
        <v>65</v>
      </c>
      <c r="G113" s="17">
        <f>Таблица1[[#This Row],[Количество]]*Таблица1[[#This Row],[Цена]]</f>
        <v>5200</v>
      </c>
      <c r="H113" s="16"/>
      <c r="I113" s="16"/>
      <c r="J113" s="16" t="str">
        <f>IF(Таблица1[[#This Row],[Количество к возврату]] = "","0",Таблица1[[#This Row],[Цена]]*Таблица1[[#This Row],[Количество к возврату]])</f>
        <v>0</v>
      </c>
      <c r="K113" s="22">
        <f>Таблица1[[#This Row],[Стоимость]]-Таблица1[[#This Row],[Стоимость возврата]]</f>
        <v>5200</v>
      </c>
      <c r="L113" s="33">
        <f>Таблица1[[#This Row],[Количество]]-Таблица1[[#This Row],[Количество к возврату]]</f>
        <v>80</v>
      </c>
      <c r="M113" s="150">
        <f>WEEKDAY(Таблица1[[#This Row],[Дата]],2)</f>
        <v>1</v>
      </c>
    </row>
    <row r="114" spans="1:13" x14ac:dyDescent="0.25">
      <c r="A114" s="32">
        <v>43347</v>
      </c>
      <c r="B114" s="16" t="s">
        <v>17</v>
      </c>
      <c r="C114" s="16" t="s">
        <v>3</v>
      </c>
      <c r="D114" s="12" t="s">
        <v>61</v>
      </c>
      <c r="E114" s="16">
        <v>90</v>
      </c>
      <c r="F114" s="16">
        <f>VLOOKUP(Таблица1[[#This Row],[Наименование Товара]],'Информация о товаарах'!$A$2:$C$9,3,FALSE)</f>
        <v>110</v>
      </c>
      <c r="G114" s="17">
        <f>Таблица1[[#This Row],[Количество]]*Таблица1[[#This Row],[Цена]]</f>
        <v>9900</v>
      </c>
      <c r="H114" s="16"/>
      <c r="I114" s="16"/>
      <c r="J114" s="16" t="str">
        <f>IF(Таблица1[[#This Row],[Количество к возврату]] = "","0",Таблица1[[#This Row],[Цена]]*Таблица1[[#This Row],[Количество к возврату]])</f>
        <v>0</v>
      </c>
      <c r="K114" s="22">
        <f>Таблица1[[#This Row],[Стоимость]]-Таблица1[[#This Row],[Стоимость возврата]]</f>
        <v>9900</v>
      </c>
      <c r="L114" s="33">
        <f>Таблица1[[#This Row],[Количество]]-Таблица1[[#This Row],[Количество к возврату]]</f>
        <v>90</v>
      </c>
      <c r="M114" s="150">
        <f>WEEKDAY(Таблица1[[#This Row],[Дата]],2)</f>
        <v>2</v>
      </c>
    </row>
    <row r="115" spans="1:13" x14ac:dyDescent="0.25">
      <c r="A115" s="32">
        <v>43347</v>
      </c>
      <c r="B115" s="16" t="s">
        <v>17</v>
      </c>
      <c r="C115" s="16" t="s">
        <v>3</v>
      </c>
      <c r="D115" s="12" t="s">
        <v>62</v>
      </c>
      <c r="E115" s="16">
        <v>80</v>
      </c>
      <c r="F115" s="16">
        <f>VLOOKUP(Таблица1[[#This Row],[Наименование Товара]],'Информация о товаарах'!$A$2:$C$9,3,FALSE)</f>
        <v>136</v>
      </c>
      <c r="G115" s="17">
        <f>Таблица1[[#This Row],[Количество]]*Таблица1[[#This Row],[Цена]]</f>
        <v>10880</v>
      </c>
      <c r="H115" s="16"/>
      <c r="I115" s="16"/>
      <c r="J115" s="16" t="str">
        <f>IF(Таблица1[[#This Row],[Количество к возврату]] = "","0",Таблица1[[#This Row],[Цена]]*Таблица1[[#This Row],[Количество к возврату]])</f>
        <v>0</v>
      </c>
      <c r="K115" s="22">
        <f>Таблица1[[#This Row],[Стоимость]]-Таблица1[[#This Row],[Стоимость возврата]]</f>
        <v>10880</v>
      </c>
      <c r="L115" s="33">
        <f>Таблица1[[#This Row],[Количество]]-Таблица1[[#This Row],[Количество к возврату]]</f>
        <v>80</v>
      </c>
      <c r="M115" s="150">
        <f>WEEKDAY(Таблица1[[#This Row],[Дата]],2)</f>
        <v>2</v>
      </c>
    </row>
    <row r="116" spans="1:13" x14ac:dyDescent="0.25">
      <c r="A116" s="32">
        <v>43348</v>
      </c>
      <c r="B116" s="16" t="s">
        <v>16</v>
      </c>
      <c r="C116" s="16" t="s">
        <v>3</v>
      </c>
      <c r="D116" s="12" t="s">
        <v>62</v>
      </c>
      <c r="E116" s="16">
        <v>160</v>
      </c>
      <c r="F116" s="16">
        <f>VLOOKUP(Таблица1[[#This Row],[Наименование Товара]],'Информация о товаарах'!$A$2:$C$9,3,FALSE)</f>
        <v>136</v>
      </c>
      <c r="G116" s="17">
        <f>Таблица1[[#This Row],[Количество]]*Таблица1[[#This Row],[Цена]]</f>
        <v>21760</v>
      </c>
      <c r="H116" s="15">
        <v>42986</v>
      </c>
      <c r="I116" s="16">
        <v>30</v>
      </c>
      <c r="J116" s="16">
        <f>IF(Таблица1[[#This Row],[Количество к возврату]] = "","0",Таблица1[[#This Row],[Цена]]*Таблица1[[#This Row],[Количество к возврату]])</f>
        <v>4080</v>
      </c>
      <c r="K116" s="22">
        <f>Таблица1[[#This Row],[Стоимость]]-Таблица1[[#This Row],[Стоимость возврата]]</f>
        <v>17680</v>
      </c>
      <c r="L116" s="33">
        <f>Таблица1[[#This Row],[Количество]]-Таблица1[[#This Row],[Количество к возврату]]</f>
        <v>130</v>
      </c>
      <c r="M116" s="150">
        <f>WEEKDAY(Таблица1[[#This Row],[Дата]],2)</f>
        <v>3</v>
      </c>
    </row>
    <row r="117" spans="1:13" x14ac:dyDescent="0.25">
      <c r="A117" s="32">
        <v>43348</v>
      </c>
      <c r="B117" s="16" t="s">
        <v>18</v>
      </c>
      <c r="C117" s="16" t="s">
        <v>3</v>
      </c>
      <c r="D117" s="12" t="s">
        <v>26</v>
      </c>
      <c r="E117" s="16">
        <v>110</v>
      </c>
      <c r="F117" s="16">
        <f>VLOOKUP(Таблица1[[#This Row],[Наименование Товара]],'Информация о товаарах'!$A$2:$C$9,3,FALSE)</f>
        <v>54</v>
      </c>
      <c r="G117" s="17">
        <f>Таблица1[[#This Row],[Количество]]*Таблица1[[#This Row],[Цена]]</f>
        <v>5940</v>
      </c>
      <c r="H117" s="16"/>
      <c r="I117" s="16"/>
      <c r="J117" s="16" t="str">
        <f>IF(Таблица1[[#This Row],[Количество к возврату]] = "","0",Таблица1[[#This Row],[Цена]]*Таблица1[[#This Row],[Количество к возврату]])</f>
        <v>0</v>
      </c>
      <c r="K117" s="22">
        <f>Таблица1[[#This Row],[Стоимость]]-Таблица1[[#This Row],[Стоимость возврата]]</f>
        <v>5940</v>
      </c>
      <c r="L117" s="33">
        <f>Таблица1[[#This Row],[Количество]]-Таблица1[[#This Row],[Количество к возврату]]</f>
        <v>110</v>
      </c>
      <c r="M117" s="150">
        <f>WEEKDAY(Таблица1[[#This Row],[Дата]],2)</f>
        <v>3</v>
      </c>
    </row>
    <row r="118" spans="1:13" x14ac:dyDescent="0.25">
      <c r="A118" s="32">
        <v>43349</v>
      </c>
      <c r="B118" s="16" t="s">
        <v>18</v>
      </c>
      <c r="C118" s="16" t="s">
        <v>4</v>
      </c>
      <c r="D118" s="12" t="s">
        <v>7</v>
      </c>
      <c r="E118" s="16">
        <v>230</v>
      </c>
      <c r="F118" s="16">
        <f>VLOOKUP(Таблица1[[#This Row],[Наименование Товара]],'Информация о товаарах'!$A$2:$C$9,3,FALSE)</f>
        <v>25</v>
      </c>
      <c r="G118" s="17">
        <f>Таблица1[[#This Row],[Количество]]*Таблица1[[#This Row],[Цена]]</f>
        <v>5750</v>
      </c>
      <c r="H118" s="16"/>
      <c r="I118" s="16"/>
      <c r="J118" s="16" t="str">
        <f>IF(Таблица1[[#This Row],[Количество к возврату]] = "","0",Таблица1[[#This Row],[Цена]]*Таблица1[[#This Row],[Количество к возврату]])</f>
        <v>0</v>
      </c>
      <c r="K118" s="22">
        <f>Таблица1[[#This Row],[Стоимость]]-Таблица1[[#This Row],[Стоимость возврата]]</f>
        <v>5750</v>
      </c>
      <c r="L118" s="33">
        <f>Таблица1[[#This Row],[Количество]]-Таблица1[[#This Row],[Количество к возврату]]</f>
        <v>230</v>
      </c>
      <c r="M118" s="150">
        <f>WEEKDAY(Таблица1[[#This Row],[Дата]],2)</f>
        <v>4</v>
      </c>
    </row>
    <row r="119" spans="1:13" x14ac:dyDescent="0.25">
      <c r="A119" s="32">
        <v>43349</v>
      </c>
      <c r="B119" s="16" t="s">
        <v>18</v>
      </c>
      <c r="C119" s="16" t="s">
        <v>4</v>
      </c>
      <c r="D119" s="12" t="s">
        <v>10</v>
      </c>
      <c r="E119" s="16">
        <v>230</v>
      </c>
      <c r="F119" s="16">
        <f>VLOOKUP(Таблица1[[#This Row],[Наименование Товара]],'Информация о товаарах'!$A$2:$C$9,3,FALSE)</f>
        <v>45</v>
      </c>
      <c r="G119" s="17">
        <f>Таблица1[[#This Row],[Количество]]*Таблица1[[#This Row],[Цена]]</f>
        <v>10350</v>
      </c>
      <c r="H119" s="15">
        <v>42989</v>
      </c>
      <c r="I119" s="16">
        <v>30</v>
      </c>
      <c r="J119" s="16">
        <f>IF(Таблица1[[#This Row],[Количество к возврату]] = "","0",Таблица1[[#This Row],[Цена]]*Таблица1[[#This Row],[Количество к возврату]])</f>
        <v>1350</v>
      </c>
      <c r="K119" s="22">
        <f>Таблица1[[#This Row],[Стоимость]]-Таблица1[[#This Row],[Стоимость возврата]]</f>
        <v>9000</v>
      </c>
      <c r="L119" s="33">
        <f>Таблица1[[#This Row],[Количество]]-Таблица1[[#This Row],[Количество к возврату]]</f>
        <v>200</v>
      </c>
      <c r="M119" s="150">
        <f>WEEKDAY(Таблица1[[#This Row],[Дата]],2)</f>
        <v>4</v>
      </c>
    </row>
    <row r="120" spans="1:13" x14ac:dyDescent="0.25">
      <c r="A120" s="32">
        <v>43350</v>
      </c>
      <c r="B120" s="16" t="s">
        <v>19</v>
      </c>
      <c r="C120" s="16" t="s">
        <v>4</v>
      </c>
      <c r="D120" s="12" t="s">
        <v>9</v>
      </c>
      <c r="E120" s="16">
        <v>60</v>
      </c>
      <c r="F120" s="16">
        <f>VLOOKUP(Таблица1[[#This Row],[Наименование Товара]],'Информация о товаарах'!$A$2:$C$9,3,FALSE)</f>
        <v>32</v>
      </c>
      <c r="G120" s="17">
        <f>Таблица1[[#This Row],[Количество]]*Таблица1[[#This Row],[Цена]]</f>
        <v>1920</v>
      </c>
      <c r="H120" s="16"/>
      <c r="I120" s="16"/>
      <c r="J120" s="16" t="str">
        <f>IF(Таблица1[[#This Row],[Количество к возврату]] = "","0",Таблица1[[#This Row],[Цена]]*Таблица1[[#This Row],[Количество к возврату]])</f>
        <v>0</v>
      </c>
      <c r="K120" s="22">
        <f>Таблица1[[#This Row],[Стоимость]]-Таблица1[[#This Row],[Стоимость возврата]]</f>
        <v>1920</v>
      </c>
      <c r="L120" s="33">
        <f>Таблица1[[#This Row],[Количество]]-Таблица1[[#This Row],[Количество к возврату]]</f>
        <v>60</v>
      </c>
      <c r="M120" s="150">
        <f>WEEKDAY(Таблица1[[#This Row],[Дата]],2)</f>
        <v>5</v>
      </c>
    </row>
    <row r="121" spans="1:13" x14ac:dyDescent="0.25">
      <c r="A121" s="32">
        <v>43350</v>
      </c>
      <c r="B121" s="16" t="s">
        <v>19</v>
      </c>
      <c r="C121" s="16" t="s">
        <v>4</v>
      </c>
      <c r="D121" s="12" t="s">
        <v>62</v>
      </c>
      <c r="E121" s="16">
        <v>25</v>
      </c>
      <c r="F121" s="16">
        <f>VLOOKUP(Таблица1[[#This Row],[Наименование Товара]],'Информация о товаарах'!$A$2:$C$9,3,FALSE)</f>
        <v>136</v>
      </c>
      <c r="G121" s="17">
        <f>Таблица1[[#This Row],[Количество]]*Таблица1[[#This Row],[Цена]]</f>
        <v>3400</v>
      </c>
      <c r="H121" s="16"/>
      <c r="I121" s="16"/>
      <c r="J121" s="16" t="str">
        <f>IF(Таблица1[[#This Row],[Количество к возврату]] = "","0",Таблица1[[#This Row],[Цена]]*Таблица1[[#This Row],[Количество к возврату]])</f>
        <v>0</v>
      </c>
      <c r="K121" s="22">
        <f>Таблица1[[#This Row],[Стоимость]]-Таблица1[[#This Row],[Стоимость возврата]]</f>
        <v>3400</v>
      </c>
      <c r="L121" s="33">
        <f>Таблица1[[#This Row],[Количество]]-Таблица1[[#This Row],[Количество к возврату]]</f>
        <v>25</v>
      </c>
      <c r="M121" s="150">
        <f>WEEKDAY(Таблица1[[#This Row],[Дата]],2)</f>
        <v>5</v>
      </c>
    </row>
    <row r="122" spans="1:13" x14ac:dyDescent="0.25">
      <c r="A122" s="32">
        <v>43353</v>
      </c>
      <c r="B122" s="16" t="s">
        <v>18</v>
      </c>
      <c r="C122" s="16" t="s">
        <v>3</v>
      </c>
      <c r="D122" s="12" t="s">
        <v>10</v>
      </c>
      <c r="E122" s="16">
        <v>170</v>
      </c>
      <c r="F122" s="16">
        <f>VLOOKUP(Таблица1[[#This Row],[Наименование Товара]],'Информация о товаарах'!$A$2:$C$9,3,FALSE)</f>
        <v>45</v>
      </c>
      <c r="G122" s="17">
        <f>Таблица1[[#This Row],[Количество]]*Таблица1[[#This Row],[Цена]]</f>
        <v>7650</v>
      </c>
      <c r="H122" s="16"/>
      <c r="I122" s="16"/>
      <c r="J122" s="16" t="str">
        <f>IF(Таблица1[[#This Row],[Количество к возврату]] = "","0",Таблица1[[#This Row],[Цена]]*Таблица1[[#This Row],[Количество к возврату]])</f>
        <v>0</v>
      </c>
      <c r="K122" s="22">
        <f>Таблица1[[#This Row],[Стоимость]]-Таблица1[[#This Row],[Стоимость возврата]]</f>
        <v>7650</v>
      </c>
      <c r="L122" s="33">
        <f>Таблица1[[#This Row],[Количество]]-Таблица1[[#This Row],[Количество к возврату]]</f>
        <v>170</v>
      </c>
      <c r="M122" s="150">
        <f>WEEKDAY(Таблица1[[#This Row],[Дата]],2)</f>
        <v>1</v>
      </c>
    </row>
    <row r="123" spans="1:13" x14ac:dyDescent="0.25">
      <c r="A123" s="32">
        <v>43353</v>
      </c>
      <c r="B123" s="16" t="s">
        <v>18</v>
      </c>
      <c r="C123" s="16" t="s">
        <v>3</v>
      </c>
      <c r="D123" s="12" t="s">
        <v>7</v>
      </c>
      <c r="E123" s="16">
        <v>170</v>
      </c>
      <c r="F123" s="16">
        <f>VLOOKUP(Таблица1[[#This Row],[Наименование Товара]],'Информация о товаарах'!$A$2:$C$9,3,FALSE)</f>
        <v>25</v>
      </c>
      <c r="G123" s="17">
        <f>Таблица1[[#This Row],[Количество]]*Таблица1[[#This Row],[Цена]]</f>
        <v>4250</v>
      </c>
      <c r="H123" s="16"/>
      <c r="I123" s="16"/>
      <c r="J123" s="16" t="str">
        <f>IF(Таблица1[[#This Row],[Количество к возврату]] = "","0",Таблица1[[#This Row],[Цена]]*Таблица1[[#This Row],[Количество к возврату]])</f>
        <v>0</v>
      </c>
      <c r="K123" s="22">
        <f>Таблица1[[#This Row],[Стоимость]]-Таблица1[[#This Row],[Стоимость возврата]]</f>
        <v>4250</v>
      </c>
      <c r="L123" s="33">
        <f>Таблица1[[#This Row],[Количество]]-Таблица1[[#This Row],[Количество к возврату]]</f>
        <v>170</v>
      </c>
      <c r="M123" s="150">
        <f>WEEKDAY(Таблица1[[#This Row],[Дата]],2)</f>
        <v>1</v>
      </c>
    </row>
    <row r="124" spans="1:13" x14ac:dyDescent="0.25">
      <c r="A124" s="32">
        <v>43354</v>
      </c>
      <c r="B124" s="16" t="s">
        <v>18</v>
      </c>
      <c r="C124" s="16" t="s">
        <v>2</v>
      </c>
      <c r="D124" s="12" t="s">
        <v>26</v>
      </c>
      <c r="E124" s="16">
        <v>56</v>
      </c>
      <c r="F124" s="16">
        <f>VLOOKUP(Таблица1[[#This Row],[Наименование Товара]],'Информация о товаарах'!$A$2:$C$9,3,FALSE)</f>
        <v>54</v>
      </c>
      <c r="G124" s="17">
        <f>Таблица1[[#This Row],[Количество]]*Таблица1[[#This Row],[Цена]]</f>
        <v>3024</v>
      </c>
      <c r="H124" s="16"/>
      <c r="I124" s="16"/>
      <c r="J124" s="16" t="str">
        <f>IF(Таблица1[[#This Row],[Количество к возврату]] = "","0",Таблица1[[#This Row],[Цена]]*Таблица1[[#This Row],[Количество к возврату]])</f>
        <v>0</v>
      </c>
      <c r="K124" s="22">
        <f>Таблица1[[#This Row],[Стоимость]]-Таблица1[[#This Row],[Стоимость возврата]]</f>
        <v>3024</v>
      </c>
      <c r="L124" s="33">
        <f>Таблица1[[#This Row],[Количество]]-Таблица1[[#This Row],[Количество к возврату]]</f>
        <v>56</v>
      </c>
      <c r="M124" s="150">
        <f>WEEKDAY(Таблица1[[#This Row],[Дата]],2)</f>
        <v>2</v>
      </c>
    </row>
    <row r="125" spans="1:13" x14ac:dyDescent="0.25">
      <c r="A125" s="32">
        <v>43354</v>
      </c>
      <c r="B125" s="16" t="s">
        <v>17</v>
      </c>
      <c r="C125" s="16" t="s">
        <v>2</v>
      </c>
      <c r="D125" s="12" t="s">
        <v>26</v>
      </c>
      <c r="E125" s="16">
        <v>56</v>
      </c>
      <c r="F125" s="16">
        <f>VLOOKUP(Таблица1[[#This Row],[Наименование Товара]],'Информация о товаарах'!$A$2:$C$9,3,FALSE)</f>
        <v>54</v>
      </c>
      <c r="G125" s="17">
        <f>Таблица1[[#This Row],[Количество]]*Таблица1[[#This Row],[Цена]]</f>
        <v>3024</v>
      </c>
      <c r="H125" s="15">
        <v>42993</v>
      </c>
      <c r="I125" s="16">
        <v>21</v>
      </c>
      <c r="J125" s="16">
        <f>IF(Таблица1[[#This Row],[Количество к возврату]] = "","0",Таблица1[[#This Row],[Цена]]*Таблица1[[#This Row],[Количество к возврату]])</f>
        <v>1134</v>
      </c>
      <c r="K125" s="22">
        <f>Таблица1[[#This Row],[Стоимость]]-Таблица1[[#This Row],[Стоимость возврата]]</f>
        <v>1890</v>
      </c>
      <c r="L125" s="33">
        <f>Таблица1[[#This Row],[Количество]]-Таблица1[[#This Row],[Количество к возврату]]</f>
        <v>35</v>
      </c>
      <c r="M125" s="150">
        <f>WEEKDAY(Таблица1[[#This Row],[Дата]],2)</f>
        <v>2</v>
      </c>
    </row>
    <row r="126" spans="1:13" x14ac:dyDescent="0.25">
      <c r="A126" s="32">
        <v>43355</v>
      </c>
      <c r="B126" s="16" t="s">
        <v>20</v>
      </c>
      <c r="C126" s="16" t="s">
        <v>2</v>
      </c>
      <c r="D126" s="12" t="s">
        <v>27</v>
      </c>
      <c r="E126" s="16">
        <v>90</v>
      </c>
      <c r="F126" s="16">
        <f>VLOOKUP(Таблица1[[#This Row],[Наименование Товара]],'Информация о товаарах'!$A$2:$C$9,3,FALSE)</f>
        <v>65</v>
      </c>
      <c r="G126" s="17">
        <f>Таблица1[[#This Row],[Количество]]*Таблица1[[#This Row],[Цена]]</f>
        <v>5850</v>
      </c>
      <c r="H126" s="16"/>
      <c r="I126" s="16"/>
      <c r="J126" s="16" t="str">
        <f>IF(Таблица1[[#This Row],[Количество к возврату]] = "","0",Таблица1[[#This Row],[Цена]]*Таблица1[[#This Row],[Количество к возврату]])</f>
        <v>0</v>
      </c>
      <c r="K126" s="22">
        <f>Таблица1[[#This Row],[Стоимость]]-Таблица1[[#This Row],[Стоимость возврата]]</f>
        <v>5850</v>
      </c>
      <c r="L126" s="33">
        <f>Таблица1[[#This Row],[Количество]]-Таблица1[[#This Row],[Количество к возврату]]</f>
        <v>90</v>
      </c>
      <c r="M126" s="150">
        <f>WEEKDAY(Таблица1[[#This Row],[Дата]],2)</f>
        <v>3</v>
      </c>
    </row>
    <row r="127" spans="1:13" x14ac:dyDescent="0.25">
      <c r="A127" s="32">
        <v>43355</v>
      </c>
      <c r="B127" s="16" t="s">
        <v>20</v>
      </c>
      <c r="C127" s="16" t="s">
        <v>2</v>
      </c>
      <c r="D127" s="12" t="s">
        <v>26</v>
      </c>
      <c r="E127" s="16">
        <v>90</v>
      </c>
      <c r="F127" s="16">
        <f>VLOOKUP(Таблица1[[#This Row],[Наименование Товара]],'Информация о товаарах'!$A$2:$C$9,3,FALSE)</f>
        <v>54</v>
      </c>
      <c r="G127" s="17">
        <f>Таблица1[[#This Row],[Количество]]*Таблица1[[#This Row],[Цена]]</f>
        <v>4860</v>
      </c>
      <c r="H127" s="16"/>
      <c r="I127" s="16"/>
      <c r="J127" s="16" t="str">
        <f>IF(Таблица1[[#This Row],[Количество к возврату]] = "","0",Таблица1[[#This Row],[Цена]]*Таблица1[[#This Row],[Количество к возврату]])</f>
        <v>0</v>
      </c>
      <c r="K127" s="22">
        <f>Таблица1[[#This Row],[Стоимость]]-Таблица1[[#This Row],[Стоимость возврата]]</f>
        <v>4860</v>
      </c>
      <c r="L127" s="33">
        <f>Таблица1[[#This Row],[Количество]]-Таблица1[[#This Row],[Количество к возврату]]</f>
        <v>90</v>
      </c>
      <c r="M127" s="150">
        <f>WEEKDAY(Таблица1[[#This Row],[Дата]],2)</f>
        <v>3</v>
      </c>
    </row>
    <row r="128" spans="1:13" x14ac:dyDescent="0.25">
      <c r="A128" s="32">
        <v>43356</v>
      </c>
      <c r="B128" s="16" t="s">
        <v>16</v>
      </c>
      <c r="C128" s="16" t="s">
        <v>4</v>
      </c>
      <c r="D128" s="16" t="s">
        <v>28</v>
      </c>
      <c r="E128" s="16">
        <v>70</v>
      </c>
      <c r="F128" s="16">
        <f>VLOOKUP(Таблица1[[#This Row],[Наименование Товара]],'Информация о товаарах'!$A$2:$C$9,3,FALSE)</f>
        <v>87</v>
      </c>
      <c r="G128" s="17">
        <f>Таблица1[[#This Row],[Количество]]*Таблица1[[#This Row],[Цена]]</f>
        <v>6090</v>
      </c>
      <c r="H128" s="16"/>
      <c r="I128" s="16"/>
      <c r="J128" s="16" t="str">
        <f>IF(Таблица1[[#This Row],[Количество к возврату]] = "","0",Таблица1[[#This Row],[Цена]]*Таблица1[[#This Row],[Количество к возврату]])</f>
        <v>0</v>
      </c>
      <c r="K128" s="22">
        <f>Таблица1[[#This Row],[Стоимость]]-Таблица1[[#This Row],[Стоимость возврата]]</f>
        <v>6090</v>
      </c>
      <c r="L128" s="33">
        <f>Таблица1[[#This Row],[Количество]]-Таблица1[[#This Row],[Количество к возврату]]</f>
        <v>70</v>
      </c>
      <c r="M128" s="150">
        <f>WEEKDAY(Таблица1[[#This Row],[Дата]],2)</f>
        <v>4</v>
      </c>
    </row>
    <row r="129" spans="1:13" x14ac:dyDescent="0.25">
      <c r="A129" s="32">
        <v>43356</v>
      </c>
      <c r="B129" s="16" t="s">
        <v>17</v>
      </c>
      <c r="C129" s="16" t="s">
        <v>4</v>
      </c>
      <c r="D129" s="16" t="s">
        <v>28</v>
      </c>
      <c r="E129" s="16">
        <v>70</v>
      </c>
      <c r="F129" s="16">
        <f>VLOOKUP(Таблица1[[#This Row],[Наименование Товара]],'Информация о товаарах'!$A$2:$C$9,3,FALSE)</f>
        <v>87</v>
      </c>
      <c r="G129" s="17">
        <f>Таблица1[[#This Row],[Количество]]*Таблица1[[#This Row],[Цена]]</f>
        <v>6090</v>
      </c>
      <c r="H129" s="16"/>
      <c r="I129" s="16"/>
      <c r="J129" s="16" t="str">
        <f>IF(Таблица1[[#This Row],[Количество к возврату]] = "","0",Таблица1[[#This Row],[Цена]]*Таблица1[[#This Row],[Количество к возврату]])</f>
        <v>0</v>
      </c>
      <c r="K129" s="22">
        <f>Таблица1[[#This Row],[Стоимость]]-Таблица1[[#This Row],[Стоимость возврата]]</f>
        <v>6090</v>
      </c>
      <c r="L129" s="33">
        <f>Таблица1[[#This Row],[Количество]]-Таблица1[[#This Row],[Количество к возврату]]</f>
        <v>70</v>
      </c>
      <c r="M129" s="150">
        <f>WEEKDAY(Таблица1[[#This Row],[Дата]],2)</f>
        <v>4</v>
      </c>
    </row>
    <row r="130" spans="1:13" x14ac:dyDescent="0.25">
      <c r="A130" s="32">
        <v>43357</v>
      </c>
      <c r="B130" s="16" t="s">
        <v>18</v>
      </c>
      <c r="C130" s="16" t="s">
        <v>3</v>
      </c>
      <c r="D130" s="12" t="s">
        <v>61</v>
      </c>
      <c r="E130" s="16">
        <v>50</v>
      </c>
      <c r="F130" s="16">
        <f>VLOOKUP(Таблица1[[#This Row],[Наименование Товара]],'Информация о товаарах'!$A$2:$C$9,3,FALSE)</f>
        <v>110</v>
      </c>
      <c r="G130" s="17">
        <f>Таблица1[[#This Row],[Количество]]*Таблица1[[#This Row],[Цена]]</f>
        <v>5500</v>
      </c>
      <c r="H130" s="16"/>
      <c r="I130" s="16"/>
      <c r="J130" s="16" t="str">
        <f>IF(Таблица1[[#This Row],[Количество к возврату]] = "","0",Таблица1[[#This Row],[Цена]]*Таблица1[[#This Row],[Количество к возврату]])</f>
        <v>0</v>
      </c>
      <c r="K130" s="22">
        <f>Таблица1[[#This Row],[Стоимость]]-Таблица1[[#This Row],[Стоимость возврата]]</f>
        <v>5500</v>
      </c>
      <c r="L130" s="33">
        <f>Таблица1[[#This Row],[Количество]]-Таблица1[[#This Row],[Количество к возврату]]</f>
        <v>50</v>
      </c>
      <c r="M130" s="150">
        <f>WEEKDAY(Таблица1[[#This Row],[Дата]],2)</f>
        <v>5</v>
      </c>
    </row>
    <row r="131" spans="1:13" x14ac:dyDescent="0.25">
      <c r="A131" s="34">
        <v>43357</v>
      </c>
      <c r="B131" s="35" t="s">
        <v>16</v>
      </c>
      <c r="C131" s="35" t="s">
        <v>3</v>
      </c>
      <c r="D131" s="36" t="s">
        <v>61</v>
      </c>
      <c r="E131" s="35">
        <v>50</v>
      </c>
      <c r="F131" s="35">
        <f>VLOOKUP(Таблица1[[#This Row],[Наименование Товара]],'Информация о товаарах'!$A$2:$C$9,3,FALSE)</f>
        <v>110</v>
      </c>
      <c r="G131" s="37">
        <f>Таблица1[[#This Row],[Количество]]*Таблица1[[#This Row],[Цена]]</f>
        <v>5500</v>
      </c>
      <c r="H131" s="35"/>
      <c r="I131" s="35"/>
      <c r="J131" s="35" t="str">
        <f>IF(Таблица1[[#This Row],[Количество к возврату]] = "","0",Таблица1[[#This Row],[Цена]]*Таблица1[[#This Row],[Количество к возврату]])</f>
        <v>0</v>
      </c>
      <c r="K131" s="38">
        <f>Таблица1[[#This Row],[Стоимость]]-Таблица1[[#This Row],[Стоимость возврата]]</f>
        <v>5500</v>
      </c>
      <c r="L131" s="39">
        <f>Таблица1[[#This Row],[Количество]]-Таблица1[[#This Row],[Количество к возврату]]</f>
        <v>50</v>
      </c>
      <c r="M131" s="150">
        <f>WEEKDAY(Таблица1[[#This Row],[Дата]],2)</f>
        <v>5</v>
      </c>
    </row>
  </sheetData>
  <conditionalFormatting sqref="E2:F67">
    <cfRule type="cellIs" dxfId="4" priority="5" operator="between">
      <formula>1</formula>
      <formula>45</formula>
    </cfRule>
  </conditionalFormatting>
  <conditionalFormatting sqref="E68:F131">
    <cfRule type="cellIs" dxfId="3" priority="4" operator="between">
      <formula>1</formula>
      <formula>45</formula>
    </cfRule>
  </conditionalFormatting>
  <conditionalFormatting sqref="E68:F87">
    <cfRule type="cellIs" dxfId="2" priority="3" operator="between">
      <formula>1</formula>
      <formula>45</formula>
    </cfRule>
  </conditionalFormatting>
  <conditionalFormatting sqref="E88:F100">
    <cfRule type="cellIs" dxfId="1" priority="2" operator="between">
      <formula>1</formula>
      <formula>45</formula>
    </cfRule>
  </conditionalFormatting>
  <conditionalFormatting sqref="E101:F131">
    <cfRule type="cellIs" dxfId="0" priority="1" operator="between">
      <formula>1</formula>
      <formula>45</formula>
    </cfRule>
  </conditionalFormatting>
  <dataValidations disablePrompts="1"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105B-A287-42D7-AF5D-FE0119F70DBD}">
  <dimension ref="B1:K56"/>
  <sheetViews>
    <sheetView workbookViewId="0">
      <selection activeCell="D19" sqref="D19"/>
    </sheetView>
  </sheetViews>
  <sheetFormatPr defaultRowHeight="15" x14ac:dyDescent="0.25"/>
  <cols>
    <col min="1" max="1" width="8.7109375" customWidth="1"/>
    <col min="2" max="2" width="27.5703125" bestFit="1" customWidth="1"/>
    <col min="3" max="3" width="19.5703125" bestFit="1" customWidth="1"/>
    <col min="4" max="4" width="15.140625" bestFit="1" customWidth="1"/>
    <col min="5" max="5" width="11.140625" bestFit="1" customWidth="1"/>
    <col min="6" max="6" width="27.5703125" bestFit="1" customWidth="1"/>
    <col min="7" max="7" width="34.85546875" bestFit="1" customWidth="1"/>
    <col min="8" max="8" width="21.7109375" bestFit="1" customWidth="1"/>
    <col min="9" max="9" width="12.85546875" bestFit="1" customWidth="1"/>
    <col min="10" max="10" width="10.5703125" bestFit="1" customWidth="1"/>
    <col min="11" max="11" width="11.5703125" bestFit="1" customWidth="1"/>
  </cols>
  <sheetData>
    <row r="1" spans="2:11" ht="15.75" thickBot="1" x14ac:dyDescent="0.3"/>
    <row r="2" spans="2:11" ht="15.75" thickBot="1" x14ac:dyDescent="0.3">
      <c r="B2" s="133" t="s">
        <v>13</v>
      </c>
      <c r="C2" s="134" t="s">
        <v>62</v>
      </c>
      <c r="D2" s="134" t="s">
        <v>28</v>
      </c>
      <c r="E2" s="134" t="s">
        <v>27</v>
      </c>
      <c r="F2" s="134" t="s">
        <v>9</v>
      </c>
      <c r="G2" s="134" t="s">
        <v>10</v>
      </c>
      <c r="H2" s="134" t="s">
        <v>7</v>
      </c>
      <c r="I2" s="134" t="s">
        <v>61</v>
      </c>
      <c r="J2" s="134" t="s">
        <v>26</v>
      </c>
      <c r="K2" s="135" t="s">
        <v>95</v>
      </c>
    </row>
    <row r="3" spans="2:11" x14ac:dyDescent="0.25">
      <c r="B3" s="51" t="s">
        <v>19</v>
      </c>
      <c r="C3" s="130">
        <f>SUMIFS(Таблица1[Чистая стоимость],ФИО_менеджера,$B3,Наименование_Товара,C$2)</f>
        <v>25160</v>
      </c>
      <c r="D3" s="130">
        <f>SUMIFS(Таблица1[Чистая стоимость],ФИО_менеджера,$B3,Наименование_Товара,D$2)</f>
        <v>36540</v>
      </c>
      <c r="E3" s="130">
        <f>SUMIFS(Таблица1[Чистая стоимость],ФИО_менеджера,$B3,Наименование_Товара,E$2)</f>
        <v>30940</v>
      </c>
      <c r="F3" s="130">
        <f>SUMIFS(Таблица1[Чистая стоимость],ФИО_менеджера,$B3,Наименование_Товара,F$2)</f>
        <v>12992</v>
      </c>
      <c r="G3" s="130">
        <f>SUMIFS(Таблица1[Чистая стоимость],ФИО_менеджера,$B3,Наименование_Товара,G$2)</f>
        <v>13275</v>
      </c>
      <c r="H3" s="130">
        <f>SUMIFS(Таблица1[Чистая стоимость],ФИО_менеджера,$B3,Наименование_Товара,H$2)</f>
        <v>2000</v>
      </c>
      <c r="I3" s="130">
        <f>SUMIFS(Таблица1[Чистая стоимость],ФИО_менеджера,$B3,Наименование_Товара,I$2)</f>
        <v>14520</v>
      </c>
      <c r="J3" s="130">
        <f>SUMIFS(Таблица1[Чистая стоимость],ФИО_менеджера,$B3,Наименование_Товара,J$2)</f>
        <v>10800</v>
      </c>
      <c r="K3" s="130">
        <f>SUM(Таблица5[[#This Row],[Балтийский]:[Снежок]])</f>
        <v>146227</v>
      </c>
    </row>
    <row r="4" spans="2:11" x14ac:dyDescent="0.25">
      <c r="B4" s="51" t="s">
        <v>16</v>
      </c>
      <c r="C4" s="130">
        <f>SUMIFS(Таблица1[Чистая стоимость],ФИО_менеджера,$B4,Наименование_Товара,C$2)</f>
        <v>31280</v>
      </c>
      <c r="D4" s="130">
        <f>SUMIFS(Таблица1[Чистая стоимость],ФИО_менеджера,$B4,Наименование_Товара,D$2)</f>
        <v>21402</v>
      </c>
      <c r="E4" s="130">
        <f>SUMIFS(Таблица1[Чистая стоимость],ФИО_менеджера,$B4,Наименование_Товара,E$2)</f>
        <v>11050</v>
      </c>
      <c r="F4" s="130">
        <f>SUMIFS(Таблица1[Чистая стоимость],ФИО_менеджера,$B4,Наименование_Товара,F$2)</f>
        <v>6048</v>
      </c>
      <c r="G4" s="130">
        <f>SUMIFS(Таблица1[Чистая стоимость],ФИО_менеджера,$B4,Наименование_Товара,G$2)</f>
        <v>2520</v>
      </c>
      <c r="H4" s="130">
        <f>SUMIFS(Таблица1[Чистая стоимость],ФИО_менеджера,$B4,Наименование_Товара,H$2)</f>
        <v>6375</v>
      </c>
      <c r="I4" s="130">
        <f>SUMIFS(Таблица1[Чистая стоимость],ФИО_менеджера,$B4,Наименование_Товара,I$2)</f>
        <v>106150</v>
      </c>
      <c r="J4" s="130">
        <f>SUMIFS(Таблица1[Чистая стоимость],ФИО_менеджера,$B4,Наименование_Товара,J$2)</f>
        <v>0</v>
      </c>
      <c r="K4" s="130">
        <f>SUM(Таблица5[[#This Row],[Балтийский]:[Снежок]])</f>
        <v>184825</v>
      </c>
    </row>
    <row r="5" spans="2:11" x14ac:dyDescent="0.25">
      <c r="B5" s="51" t="s">
        <v>17</v>
      </c>
      <c r="C5" s="130">
        <f>SUMIFS(Таблица1[Чистая стоимость],ФИО_менеджера,$B5,Наименование_Товара,C$2)</f>
        <v>31144</v>
      </c>
      <c r="D5" s="130">
        <f>SUMIFS(Таблица1[Чистая стоимость],ФИО_менеджера,$B5,Наименование_Товара,D$2)</f>
        <v>71340</v>
      </c>
      <c r="E5" s="130">
        <f>SUMIFS(Таблица1[Чистая стоимость],ФИО_менеджера,$B5,Наименование_Товара,E$2)</f>
        <v>18200</v>
      </c>
      <c r="F5" s="130">
        <f>SUMIFS(Таблица1[Чистая стоимость],ФИО_менеджера,$B5,Наименование_Товара,F$2)</f>
        <v>22912</v>
      </c>
      <c r="G5" s="130">
        <f>SUMIFS(Таблица1[Чистая стоимость],ФИО_менеджера,$B5,Наименование_Товара,G$2)</f>
        <v>8100</v>
      </c>
      <c r="H5" s="130">
        <f>SUMIFS(Таблица1[Чистая стоимость],ФИО_менеджера,$B5,Наименование_Товара,H$2)</f>
        <v>5900</v>
      </c>
      <c r="I5" s="130">
        <f>SUMIFS(Таблица1[Чистая стоимость],ФИО_менеджера,$B5,Наименование_Товара,I$2)</f>
        <v>80850</v>
      </c>
      <c r="J5" s="130">
        <f>SUMIFS(Таблица1[Чистая стоимость],ФИО_менеджера,$B5,Наименование_Товара,J$2)</f>
        <v>7290</v>
      </c>
      <c r="K5" s="130">
        <f>SUM(Таблица5[[#This Row],[Балтийский]:[Снежок]])</f>
        <v>245736</v>
      </c>
    </row>
    <row r="6" spans="2:11" x14ac:dyDescent="0.25">
      <c r="B6" s="51" t="s">
        <v>18</v>
      </c>
      <c r="C6" s="130">
        <f>SUMIFS(Таблица1[Чистая стоимость],ФИО_менеджера,$B6,Наименование_Товара,C$2)</f>
        <v>28560</v>
      </c>
      <c r="D6" s="130">
        <f>SUMIFS(Таблица1[Чистая стоимость],ФИО_менеджера,$B6,Наименование_Товара,D$2)</f>
        <v>13920</v>
      </c>
      <c r="E6" s="130">
        <f>SUMIFS(Таблица1[Чистая стоимость],ФИО_менеджера,$B6,Наименование_Товара,E$2)</f>
        <v>13000</v>
      </c>
      <c r="F6" s="130">
        <f>SUMIFS(Таблица1[Чистая стоимость],ФИО_менеджера,$B6,Наименование_Товара,F$2)</f>
        <v>29792</v>
      </c>
      <c r="G6" s="130">
        <f>SUMIFS(Таблица1[Чистая стоимость],ФИО_менеджера,$B6,Наименование_Товара,G$2)</f>
        <v>29745</v>
      </c>
      <c r="H6" s="130">
        <f>SUMIFS(Таблица1[Чистая стоимость],ФИО_менеджера,$B6,Наименование_Товара,H$2)</f>
        <v>25075</v>
      </c>
      <c r="I6" s="130">
        <f>SUMIFS(Таблица1[Чистая стоимость],ФИО_менеджера,$B6,Наименование_Товара,I$2)</f>
        <v>5500</v>
      </c>
      <c r="J6" s="130">
        <f>SUMIFS(Таблица1[Чистая стоимость],ФИО_менеджера,$B6,Наименование_Товара,J$2)</f>
        <v>25650</v>
      </c>
      <c r="K6" s="130">
        <f>SUM(Таблица5[[#This Row],[Балтийский]:[Снежок]])</f>
        <v>171242</v>
      </c>
    </row>
    <row r="7" spans="2:11" ht="15.75" thickBot="1" x14ac:dyDescent="0.3">
      <c r="B7" s="51" t="s">
        <v>20</v>
      </c>
      <c r="C7" s="130">
        <f>SUMIFS(Таблица1[Чистая стоимость],ФИО_менеджера,$B7,Наименование_Товара,C$2)</f>
        <v>28560</v>
      </c>
      <c r="D7" s="130">
        <f>SUMIFS(Таблица1[Чистая стоимость],ФИО_менеджера,$B7,Наименование_Товара,D$2)</f>
        <v>43152</v>
      </c>
      <c r="E7" s="130">
        <f>SUMIFS(Таблица1[Чистая стоимость],ФИО_менеджера,$B7,Наименование_Товара,E$2)</f>
        <v>26000</v>
      </c>
      <c r="F7" s="130">
        <f>SUMIFS(Таблица1[Чистая стоимость],ФИО_менеджера,$B7,Наименование_Товара,F$2)</f>
        <v>2560</v>
      </c>
      <c r="G7" s="130">
        <f>SUMIFS(Таблица1[Чистая стоимость],ФИО_менеджера,$B7,Наименование_Товара,G$2)</f>
        <v>9585</v>
      </c>
      <c r="H7" s="130">
        <f>SUMIFS(Таблица1[Чистая стоимость],ФИО_менеджера,$B7,Наименование_Товара,H$2)</f>
        <v>4450</v>
      </c>
      <c r="I7" s="130">
        <f>SUMIFS(Таблица1[Чистая стоимость],ФИО_менеджера,$B7,Наименование_Товара,I$2)</f>
        <v>70510</v>
      </c>
      <c r="J7" s="130">
        <f>SUMIFS(Таблица1[Чистая стоимость],ФИО_менеджера,$B7,Наименование_Товара,J$2)</f>
        <v>17280</v>
      </c>
      <c r="K7" s="130">
        <f>SUM(Таблица5[[#This Row],[Балтийский]:[Снежок]])</f>
        <v>202097</v>
      </c>
    </row>
    <row r="8" spans="2:11" ht="15.75" thickBot="1" x14ac:dyDescent="0.3">
      <c r="B8" s="60" t="s">
        <v>95</v>
      </c>
      <c r="C8" s="131">
        <f>SUM(Таблица5[Балтийский])</f>
        <v>144704</v>
      </c>
      <c r="D8" s="131">
        <f>SUM(Таблица5[Голландские])</f>
        <v>186354</v>
      </c>
      <c r="E8" s="131">
        <f>SUM(Таблица5[Нежные])</f>
        <v>99190</v>
      </c>
      <c r="F8" s="131">
        <f>SUM(Таблица5[Печенье Вкусное])</f>
        <v>74304</v>
      </c>
      <c r="G8" s="131">
        <f>SUM(Таблица5[Печенье Доброе])</f>
        <v>63225</v>
      </c>
      <c r="H8" s="131">
        <f>SUM(Таблица5[Печенье Солнышко])</f>
        <v>43800</v>
      </c>
      <c r="I8" s="131">
        <f>SUM(Таблица5[Полярный])</f>
        <v>277530</v>
      </c>
      <c r="J8" s="131">
        <f>SUM(Таблица5[Снежок])</f>
        <v>61020</v>
      </c>
      <c r="K8" s="132">
        <f>SUM(Таблица5[ИТОГ])</f>
        <v>950127</v>
      </c>
    </row>
    <row r="10" spans="2:11" ht="15.75" thickBot="1" x14ac:dyDescent="0.3"/>
    <row r="11" spans="2:11" ht="15.75" thickBot="1" x14ac:dyDescent="0.3">
      <c r="B11" s="145" t="s">
        <v>13</v>
      </c>
      <c r="C11" s="146" t="s">
        <v>90</v>
      </c>
      <c r="F11" s="133" t="s">
        <v>42</v>
      </c>
      <c r="G11" s="135" t="s">
        <v>92</v>
      </c>
    </row>
    <row r="12" spans="2:11" x14ac:dyDescent="0.25">
      <c r="B12" s="139" t="s">
        <v>19</v>
      </c>
      <c r="C12" s="142">
        <f>SUM(C13:C20)</f>
        <v>146227</v>
      </c>
      <c r="F12" s="40" t="s">
        <v>19</v>
      </c>
      <c r="G12" s="129">
        <f>SUMIF(ФИО_менеджера,F12,Таблица1[Чистая стоимость])</f>
        <v>146227</v>
      </c>
    </row>
    <row r="13" spans="2:11" x14ac:dyDescent="0.25">
      <c r="B13" s="140" t="s">
        <v>62</v>
      </c>
      <c r="C13" s="143">
        <f>SUMIFS(Таблица1[Чистая стоимость],ФИО_менеджера,$B$12,Наименование_Товара,B13)</f>
        <v>25160</v>
      </c>
      <c r="F13" s="51" t="s">
        <v>16</v>
      </c>
      <c r="G13" s="130">
        <f>SUMIF(ФИО_менеджера,F13,Таблица1[Чистая стоимость])</f>
        <v>184825</v>
      </c>
    </row>
    <row r="14" spans="2:11" x14ac:dyDescent="0.25">
      <c r="B14" s="140" t="s">
        <v>28</v>
      </c>
      <c r="C14" s="143">
        <f>SUMIFS(Таблица1[Чистая стоимость],ФИО_менеджера,$B$12,Наименование_Товара,B14)</f>
        <v>36540</v>
      </c>
      <c r="F14" s="51" t="s">
        <v>17</v>
      </c>
      <c r="G14" s="130">
        <f>SUMIF(ФИО_менеджера,F14,Таблица1[Чистая стоимость])</f>
        <v>245736</v>
      </c>
    </row>
    <row r="15" spans="2:11" x14ac:dyDescent="0.25">
      <c r="B15" s="140" t="s">
        <v>27</v>
      </c>
      <c r="C15" s="143">
        <f>SUMIFS(Таблица1[Чистая стоимость],ФИО_менеджера,$B$12,Наименование_Товара,B15)</f>
        <v>30940</v>
      </c>
      <c r="F15" s="51" t="s">
        <v>18</v>
      </c>
      <c r="G15" s="130">
        <f>SUMIF(ФИО_менеджера,F15,Таблица1[Чистая стоимость])</f>
        <v>171242</v>
      </c>
    </row>
    <row r="16" spans="2:11" x14ac:dyDescent="0.25">
      <c r="B16" s="140" t="s">
        <v>9</v>
      </c>
      <c r="C16" s="143">
        <f>SUMIFS(Таблица1[Чистая стоимость],ФИО_менеджера,$B$12,Наименование_Товара,B16)</f>
        <v>12992</v>
      </c>
      <c r="F16" s="51" t="s">
        <v>20</v>
      </c>
      <c r="G16" s="130">
        <f>SUMIF(ФИО_менеджера,F16,Таблица1[Чистая стоимость])</f>
        <v>202097</v>
      </c>
    </row>
    <row r="17" spans="2:7" x14ac:dyDescent="0.25">
      <c r="B17" s="140" t="s">
        <v>10</v>
      </c>
      <c r="C17" s="143">
        <f>SUMIFS(Таблица1[Чистая стоимость],ФИО_менеджера,$B$12,Наименование_Товара,B17)</f>
        <v>13275</v>
      </c>
      <c r="F17" s="6" t="s">
        <v>95</v>
      </c>
      <c r="G17" s="130">
        <f>SUM(G12:G16)</f>
        <v>950127</v>
      </c>
    </row>
    <row r="18" spans="2:7" x14ac:dyDescent="0.25">
      <c r="B18" s="140" t="s">
        <v>7</v>
      </c>
      <c r="C18" s="143">
        <f>SUMIFS(Таблица1[Чистая стоимость],ФИО_менеджера,$B$12,Наименование_Товара,B18)</f>
        <v>2000</v>
      </c>
    </row>
    <row r="19" spans="2:7" x14ac:dyDescent="0.25">
      <c r="B19" s="140" t="s">
        <v>61</v>
      </c>
      <c r="C19" s="143">
        <f>SUMIFS(Таблица1[Чистая стоимость],ФИО_менеджера,$B$12,Наименование_Товара,B19)</f>
        <v>14520</v>
      </c>
    </row>
    <row r="20" spans="2:7" x14ac:dyDescent="0.25">
      <c r="B20" s="140" t="s">
        <v>26</v>
      </c>
      <c r="C20" s="143">
        <f>SUMIFS(Таблица1[Чистая стоимость],ФИО_менеджера,$B$12,Наименование_Товара,B20)</f>
        <v>10800</v>
      </c>
    </row>
    <row r="21" spans="2:7" x14ac:dyDescent="0.25">
      <c r="B21" s="141" t="s">
        <v>16</v>
      </c>
      <c r="C21" s="144">
        <f>SUM(C22:C29)</f>
        <v>184825</v>
      </c>
    </row>
    <row r="22" spans="2:7" x14ac:dyDescent="0.25">
      <c r="B22" s="140" t="s">
        <v>62</v>
      </c>
      <c r="C22" s="143">
        <f>SUMIFS(Таблица1[Чистая стоимость],ФИО_менеджера,$B$21,Наименование_Товара,B22)</f>
        <v>31280</v>
      </c>
    </row>
    <row r="23" spans="2:7" x14ac:dyDescent="0.25">
      <c r="B23" s="140" t="s">
        <v>28</v>
      </c>
      <c r="C23" s="143">
        <f>SUMIFS(Таблица1[Чистая стоимость],ФИО_менеджера,$B$21,Наименование_Товара,B23)</f>
        <v>21402</v>
      </c>
    </row>
    <row r="24" spans="2:7" x14ac:dyDescent="0.25">
      <c r="B24" s="140" t="s">
        <v>27</v>
      </c>
      <c r="C24" s="143">
        <f>SUMIFS(Таблица1[Чистая стоимость],ФИО_менеджера,$B$21,Наименование_Товара,B24)</f>
        <v>11050</v>
      </c>
    </row>
    <row r="25" spans="2:7" x14ac:dyDescent="0.25">
      <c r="B25" s="140" t="s">
        <v>9</v>
      </c>
      <c r="C25" s="143">
        <f>SUMIFS(Таблица1[Чистая стоимость],ФИО_менеджера,$B$21,Наименование_Товара,B25)</f>
        <v>6048</v>
      </c>
    </row>
    <row r="26" spans="2:7" x14ac:dyDescent="0.25">
      <c r="B26" s="140" t="s">
        <v>10</v>
      </c>
      <c r="C26" s="143">
        <f>SUMIFS(Таблица1[Чистая стоимость],ФИО_менеджера,$B$21,Наименование_Товара,B26)</f>
        <v>2520</v>
      </c>
    </row>
    <row r="27" spans="2:7" x14ac:dyDescent="0.25">
      <c r="B27" s="140" t="s">
        <v>7</v>
      </c>
      <c r="C27" s="143">
        <f>SUMIFS(Таблица1[Чистая стоимость],ФИО_менеджера,$B$21,Наименование_Товара,B27)</f>
        <v>6375</v>
      </c>
    </row>
    <row r="28" spans="2:7" x14ac:dyDescent="0.25">
      <c r="B28" s="140" t="s">
        <v>61</v>
      </c>
      <c r="C28" s="143">
        <f>SUMIFS(Таблица1[Чистая стоимость],ФИО_менеджера,$B$21,Наименование_Товара,B28)</f>
        <v>106150</v>
      </c>
    </row>
    <row r="29" spans="2:7" x14ac:dyDescent="0.25">
      <c r="B29" s="140" t="s">
        <v>26</v>
      </c>
      <c r="C29" s="143">
        <f>SUMIFS(Таблица1[Чистая стоимость],ФИО_менеджера,$B$21,Наименование_Товара,B29)</f>
        <v>0</v>
      </c>
    </row>
    <row r="30" spans="2:7" x14ac:dyDescent="0.25">
      <c r="B30" s="141" t="s">
        <v>17</v>
      </c>
      <c r="C30" s="144">
        <f>SUM(C31:C38)</f>
        <v>245736</v>
      </c>
    </row>
    <row r="31" spans="2:7" x14ac:dyDescent="0.25">
      <c r="B31" s="140" t="s">
        <v>62</v>
      </c>
      <c r="C31" s="143">
        <f>SUMIFS(Таблица1[Чистая стоимость],ФИО_менеджера,$B$30,Наименование_Товара,B31)</f>
        <v>31144</v>
      </c>
    </row>
    <row r="32" spans="2:7" x14ac:dyDescent="0.25">
      <c r="B32" s="140" t="s">
        <v>28</v>
      </c>
      <c r="C32" s="143">
        <f>SUMIFS(Таблица1[Чистая стоимость],ФИО_менеджера,$B$30,Наименование_Товара,B32)</f>
        <v>71340</v>
      </c>
    </row>
    <row r="33" spans="2:3" x14ac:dyDescent="0.25">
      <c r="B33" s="140" t="s">
        <v>27</v>
      </c>
      <c r="C33" s="143">
        <f>SUMIFS(Таблица1[Чистая стоимость],ФИО_менеджера,$B$30,Наименование_Товара,B33)</f>
        <v>18200</v>
      </c>
    </row>
    <row r="34" spans="2:3" x14ac:dyDescent="0.25">
      <c r="B34" s="140" t="s">
        <v>9</v>
      </c>
      <c r="C34" s="143">
        <f>SUMIFS(Таблица1[Чистая стоимость],ФИО_менеджера,$B$30,Наименование_Товара,B34)</f>
        <v>22912</v>
      </c>
    </row>
    <row r="35" spans="2:3" x14ac:dyDescent="0.25">
      <c r="B35" s="140" t="s">
        <v>10</v>
      </c>
      <c r="C35" s="143">
        <f>SUMIFS(Таблица1[Чистая стоимость],ФИО_менеджера,$B$30,Наименование_Товара,B35)</f>
        <v>8100</v>
      </c>
    </row>
    <row r="36" spans="2:3" x14ac:dyDescent="0.25">
      <c r="B36" s="140" t="s">
        <v>7</v>
      </c>
      <c r="C36" s="143">
        <f>SUMIFS(Таблица1[Чистая стоимость],ФИО_менеджера,$B$30,Наименование_Товара,B36)</f>
        <v>5900</v>
      </c>
    </row>
    <row r="37" spans="2:3" x14ac:dyDescent="0.25">
      <c r="B37" s="140" t="s">
        <v>61</v>
      </c>
      <c r="C37" s="143">
        <f>SUMIFS(Таблица1[Чистая стоимость],ФИО_менеджера,$B$30,Наименование_Товара,B37)</f>
        <v>80850</v>
      </c>
    </row>
    <row r="38" spans="2:3" x14ac:dyDescent="0.25">
      <c r="B38" s="140" t="s">
        <v>26</v>
      </c>
      <c r="C38" s="143">
        <f>SUMIFS(Таблица1[Чистая стоимость],ФИО_менеджера,$B$30,Наименование_Товара,B38)</f>
        <v>7290</v>
      </c>
    </row>
    <row r="39" spans="2:3" x14ac:dyDescent="0.25">
      <c r="B39" s="141" t="s">
        <v>18</v>
      </c>
      <c r="C39" s="144">
        <f>SUM(C40:C47)</f>
        <v>171242</v>
      </c>
    </row>
    <row r="40" spans="2:3" x14ac:dyDescent="0.25">
      <c r="B40" s="140" t="s">
        <v>62</v>
      </c>
      <c r="C40" s="143">
        <f>SUMIFS(Таблица1[Чистая стоимость],ФИО_менеджера,$B$39,Наименование_Товара,B40)</f>
        <v>28560</v>
      </c>
    </row>
    <row r="41" spans="2:3" x14ac:dyDescent="0.25">
      <c r="B41" s="140" t="s">
        <v>28</v>
      </c>
      <c r="C41" s="143">
        <f>SUMIFS(Таблица1[Чистая стоимость],ФИО_менеджера,$B$39,Наименование_Товара,B41)</f>
        <v>13920</v>
      </c>
    </row>
    <row r="42" spans="2:3" x14ac:dyDescent="0.25">
      <c r="B42" s="140" t="s">
        <v>27</v>
      </c>
      <c r="C42" s="143">
        <f>SUMIFS(Таблица1[Чистая стоимость],ФИО_менеджера,$B$39,Наименование_Товара,B42)</f>
        <v>13000</v>
      </c>
    </row>
    <row r="43" spans="2:3" x14ac:dyDescent="0.25">
      <c r="B43" s="140" t="s">
        <v>9</v>
      </c>
      <c r="C43" s="143">
        <f>SUMIFS(Таблица1[Чистая стоимость],ФИО_менеджера,$B$39,Наименование_Товара,B43)</f>
        <v>29792</v>
      </c>
    </row>
    <row r="44" spans="2:3" x14ac:dyDescent="0.25">
      <c r="B44" s="140" t="s">
        <v>10</v>
      </c>
      <c r="C44" s="143">
        <f>SUMIFS(Таблица1[Чистая стоимость],ФИО_менеджера,$B$39,Наименование_Товара,B44)</f>
        <v>29745</v>
      </c>
    </row>
    <row r="45" spans="2:3" x14ac:dyDescent="0.25">
      <c r="B45" s="140" t="s">
        <v>7</v>
      </c>
      <c r="C45" s="143">
        <f>SUMIFS(Таблица1[Чистая стоимость],ФИО_менеджера,$B$39,Наименование_Товара,B45)</f>
        <v>25075</v>
      </c>
    </row>
    <row r="46" spans="2:3" x14ac:dyDescent="0.25">
      <c r="B46" s="140" t="s">
        <v>61</v>
      </c>
      <c r="C46" s="143">
        <f>SUMIFS(Таблица1[Чистая стоимость],ФИО_менеджера,$B$39,Наименование_Товара,B46)</f>
        <v>5500</v>
      </c>
    </row>
    <row r="47" spans="2:3" x14ac:dyDescent="0.25">
      <c r="B47" s="140" t="s">
        <v>26</v>
      </c>
      <c r="C47" s="143">
        <f>SUMIFS(Таблица1[Чистая стоимость],ФИО_менеджера,$B$39,Наименование_Товара,B47)</f>
        <v>25650</v>
      </c>
    </row>
    <row r="48" spans="2:3" x14ac:dyDescent="0.25">
      <c r="B48" s="141" t="s">
        <v>20</v>
      </c>
      <c r="C48" s="144">
        <f>SUM(C49:C56)</f>
        <v>202097</v>
      </c>
    </row>
    <row r="49" spans="2:3" x14ac:dyDescent="0.25">
      <c r="B49" s="140" t="s">
        <v>62</v>
      </c>
      <c r="C49" s="143">
        <f>SUMIFS(Таблица1[Чистая стоимость],ФИО_менеджера,$B$48,Наименование_Товара,B49)</f>
        <v>28560</v>
      </c>
    </row>
    <row r="50" spans="2:3" x14ac:dyDescent="0.25">
      <c r="B50" s="140" t="s">
        <v>28</v>
      </c>
      <c r="C50" s="143">
        <f>SUMIFS(Таблица1[Чистая стоимость],ФИО_менеджера,$B$48,Наименование_Товара,B50)</f>
        <v>43152</v>
      </c>
    </row>
    <row r="51" spans="2:3" x14ac:dyDescent="0.25">
      <c r="B51" s="140" t="s">
        <v>27</v>
      </c>
      <c r="C51" s="143">
        <f>SUMIFS(Таблица1[Чистая стоимость],ФИО_менеджера,$B$48,Наименование_Товара,B51)</f>
        <v>26000</v>
      </c>
    </row>
    <row r="52" spans="2:3" x14ac:dyDescent="0.25">
      <c r="B52" s="140" t="s">
        <v>9</v>
      </c>
      <c r="C52" s="143">
        <f>SUMIFS(Таблица1[Чистая стоимость],ФИО_менеджера,$B$48,Наименование_Товара,B52)</f>
        <v>2560</v>
      </c>
    </row>
    <row r="53" spans="2:3" x14ac:dyDescent="0.25">
      <c r="B53" s="140" t="s">
        <v>10</v>
      </c>
      <c r="C53" s="143">
        <f>SUMIFS(Таблица1[Чистая стоимость],ФИО_менеджера,$B$48,Наименование_Товара,B53)</f>
        <v>9585</v>
      </c>
    </row>
    <row r="54" spans="2:3" x14ac:dyDescent="0.25">
      <c r="B54" s="140" t="s">
        <v>7</v>
      </c>
      <c r="C54" s="143">
        <f>SUMIFS(Таблица1[Чистая стоимость],ФИО_менеджера,$B$48,Наименование_Товара,B54)</f>
        <v>4450</v>
      </c>
    </row>
    <row r="55" spans="2:3" x14ac:dyDescent="0.25">
      <c r="B55" s="140" t="s">
        <v>61</v>
      </c>
      <c r="C55" s="143">
        <f>SUMIFS(Таблица1[Чистая стоимость],ФИО_менеджера,$B$48,Наименование_Товара,B55)</f>
        <v>70510</v>
      </c>
    </row>
    <row r="56" spans="2:3" x14ac:dyDescent="0.25">
      <c r="B56" s="147" t="s">
        <v>26</v>
      </c>
      <c r="C56" s="148">
        <f>SUMIFS(Таблица1[Чистая стоимость],ФИО_менеджера,$B$48,Наименование_Товара,B56)</f>
        <v>17280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9D1A-ADAD-40B8-A709-6196A3A6254B}">
  <dimension ref="B1:K57"/>
  <sheetViews>
    <sheetView workbookViewId="0">
      <selection activeCell="F25" sqref="F25"/>
    </sheetView>
  </sheetViews>
  <sheetFormatPr defaultRowHeight="15" x14ac:dyDescent="0.25"/>
  <cols>
    <col min="1" max="1" width="7.28515625" customWidth="1"/>
    <col min="2" max="3" width="32.5703125" bestFit="1" customWidth="1"/>
    <col min="4" max="4" width="12.85546875" bestFit="1" customWidth="1"/>
    <col min="5" max="5" width="10.5703125" bestFit="1" customWidth="1"/>
    <col min="6" max="6" width="27.5703125" bestFit="1" customWidth="1"/>
    <col min="7" max="7" width="32.5703125" bestFit="1" customWidth="1"/>
    <col min="8" max="8" width="19.42578125" bestFit="1" customWidth="1"/>
    <col min="9" max="9" width="11.5703125" bestFit="1" customWidth="1"/>
    <col min="10" max="10" width="10.5703125" bestFit="1" customWidth="1"/>
    <col min="11" max="11" width="11.85546875" bestFit="1" customWidth="1"/>
    <col min="12" max="67" width="11" bestFit="1" customWidth="1"/>
    <col min="68" max="90" width="12" bestFit="1" customWidth="1"/>
    <col min="91" max="91" width="13.42578125" bestFit="1" customWidth="1"/>
  </cols>
  <sheetData>
    <row r="1" spans="2:11" ht="15.75" thickBot="1" x14ac:dyDescent="0.3"/>
    <row r="2" spans="2:11" x14ac:dyDescent="0.25">
      <c r="B2" s="119" t="s">
        <v>92</v>
      </c>
      <c r="C2" s="120" t="s">
        <v>94</v>
      </c>
      <c r="D2" s="121"/>
      <c r="E2" s="121"/>
      <c r="F2" s="121"/>
      <c r="G2" s="121"/>
      <c r="H2" s="121"/>
      <c r="I2" s="121"/>
      <c r="J2" s="121"/>
      <c r="K2" s="122"/>
    </row>
    <row r="3" spans="2:11" x14ac:dyDescent="0.25">
      <c r="B3" s="123" t="s">
        <v>42</v>
      </c>
      <c r="C3" s="7" t="s">
        <v>62</v>
      </c>
      <c r="D3" s="7" t="s">
        <v>28</v>
      </c>
      <c r="E3" s="7" t="s">
        <v>27</v>
      </c>
      <c r="F3" s="7" t="s">
        <v>9</v>
      </c>
      <c r="G3" s="7" t="s">
        <v>10</v>
      </c>
      <c r="H3" s="7" t="s">
        <v>7</v>
      </c>
      <c r="I3" s="7" t="s">
        <v>61</v>
      </c>
      <c r="J3" s="7" t="s">
        <v>26</v>
      </c>
      <c r="K3" s="73" t="s">
        <v>37</v>
      </c>
    </row>
    <row r="4" spans="2:11" x14ac:dyDescent="0.25">
      <c r="B4" s="72" t="s">
        <v>19</v>
      </c>
      <c r="C4" s="23">
        <v>25160</v>
      </c>
      <c r="D4" s="23">
        <v>36540</v>
      </c>
      <c r="E4" s="23">
        <v>30940</v>
      </c>
      <c r="F4" s="23">
        <v>12992</v>
      </c>
      <c r="G4" s="23">
        <v>13275</v>
      </c>
      <c r="H4" s="23">
        <v>2000</v>
      </c>
      <c r="I4" s="23">
        <v>14520</v>
      </c>
      <c r="J4" s="23">
        <v>10800</v>
      </c>
      <c r="K4" s="124">
        <v>146227</v>
      </c>
    </row>
    <row r="5" spans="2:11" x14ac:dyDescent="0.25">
      <c r="B5" s="72" t="s">
        <v>16</v>
      </c>
      <c r="C5" s="23">
        <v>31280</v>
      </c>
      <c r="D5" s="23">
        <v>21402</v>
      </c>
      <c r="E5" s="23">
        <v>11050</v>
      </c>
      <c r="F5" s="23">
        <v>6048</v>
      </c>
      <c r="G5" s="23">
        <v>2520</v>
      </c>
      <c r="H5" s="23">
        <v>6375</v>
      </c>
      <c r="I5" s="23">
        <v>106150</v>
      </c>
      <c r="J5" s="23"/>
      <c r="K5" s="124">
        <v>184825</v>
      </c>
    </row>
    <row r="6" spans="2:11" x14ac:dyDescent="0.25">
      <c r="B6" s="72" t="s">
        <v>17</v>
      </c>
      <c r="C6" s="23">
        <v>31144</v>
      </c>
      <c r="D6" s="23">
        <v>71340</v>
      </c>
      <c r="E6" s="23">
        <v>18200</v>
      </c>
      <c r="F6" s="23">
        <v>22912</v>
      </c>
      <c r="G6" s="23">
        <v>8100</v>
      </c>
      <c r="H6" s="23">
        <v>5900</v>
      </c>
      <c r="I6" s="23">
        <v>80850</v>
      </c>
      <c r="J6" s="23">
        <v>7290</v>
      </c>
      <c r="K6" s="124">
        <v>245736</v>
      </c>
    </row>
    <row r="7" spans="2:11" x14ac:dyDescent="0.25">
      <c r="B7" s="72" t="s">
        <v>18</v>
      </c>
      <c r="C7" s="23">
        <v>28560</v>
      </c>
      <c r="D7" s="23">
        <v>13920</v>
      </c>
      <c r="E7" s="23">
        <v>13000</v>
      </c>
      <c r="F7" s="23">
        <v>29792</v>
      </c>
      <c r="G7" s="23">
        <v>29745</v>
      </c>
      <c r="H7" s="23">
        <v>25075</v>
      </c>
      <c r="I7" s="23">
        <v>5500</v>
      </c>
      <c r="J7" s="23">
        <v>25650</v>
      </c>
      <c r="K7" s="124">
        <v>171242</v>
      </c>
    </row>
    <row r="8" spans="2:11" x14ac:dyDescent="0.25">
      <c r="B8" s="72" t="s">
        <v>20</v>
      </c>
      <c r="C8" s="23">
        <v>28560</v>
      </c>
      <c r="D8" s="23">
        <v>43152</v>
      </c>
      <c r="E8" s="23">
        <v>26000</v>
      </c>
      <c r="F8" s="23">
        <v>2560</v>
      </c>
      <c r="G8" s="23">
        <v>9585</v>
      </c>
      <c r="H8" s="23">
        <v>4450</v>
      </c>
      <c r="I8" s="23">
        <v>70510</v>
      </c>
      <c r="J8" s="23">
        <v>17280</v>
      </c>
      <c r="K8" s="124">
        <v>202097</v>
      </c>
    </row>
    <row r="9" spans="2:11" ht="15.75" thickBot="1" x14ac:dyDescent="0.3">
      <c r="B9" s="125" t="s">
        <v>37</v>
      </c>
      <c r="C9" s="126">
        <v>144704</v>
      </c>
      <c r="D9" s="126">
        <v>186354</v>
      </c>
      <c r="E9" s="126">
        <v>99190</v>
      </c>
      <c r="F9" s="126">
        <v>74304</v>
      </c>
      <c r="G9" s="126">
        <v>63225</v>
      </c>
      <c r="H9" s="126">
        <v>43800</v>
      </c>
      <c r="I9" s="126">
        <v>277530</v>
      </c>
      <c r="J9" s="126">
        <v>61020</v>
      </c>
      <c r="K9" s="127">
        <v>950127</v>
      </c>
    </row>
    <row r="11" spans="2:11" ht="15.75" thickBot="1" x14ac:dyDescent="0.3"/>
    <row r="12" spans="2:11" x14ac:dyDescent="0.25">
      <c r="B12" s="119" t="s">
        <v>42</v>
      </c>
      <c r="C12" s="122" t="s">
        <v>92</v>
      </c>
      <c r="F12" s="137" t="s">
        <v>93</v>
      </c>
      <c r="G12" s="138" t="s">
        <v>44</v>
      </c>
    </row>
    <row r="13" spans="2:11" x14ac:dyDescent="0.25">
      <c r="B13" s="72" t="s">
        <v>19</v>
      </c>
      <c r="C13" s="124">
        <v>146227</v>
      </c>
      <c r="F13" s="123" t="s">
        <v>42</v>
      </c>
      <c r="G13" s="73" t="s">
        <v>92</v>
      </c>
    </row>
    <row r="14" spans="2:11" x14ac:dyDescent="0.25">
      <c r="B14" s="128" t="s">
        <v>62</v>
      </c>
      <c r="C14" s="124">
        <v>25160</v>
      </c>
      <c r="F14" s="72" t="s">
        <v>19</v>
      </c>
      <c r="G14" s="124">
        <v>146227</v>
      </c>
    </row>
    <row r="15" spans="2:11" x14ac:dyDescent="0.25">
      <c r="B15" s="128" t="s">
        <v>28</v>
      </c>
      <c r="C15" s="124">
        <v>36540</v>
      </c>
      <c r="F15" s="72" t="s">
        <v>16</v>
      </c>
      <c r="G15" s="124">
        <v>184825</v>
      </c>
    </row>
    <row r="16" spans="2:11" x14ac:dyDescent="0.25">
      <c r="B16" s="128" t="s">
        <v>27</v>
      </c>
      <c r="C16" s="124">
        <v>30940</v>
      </c>
      <c r="F16" s="72" t="s">
        <v>17</v>
      </c>
      <c r="G16" s="124">
        <v>245736</v>
      </c>
    </row>
    <row r="17" spans="2:7" x14ac:dyDescent="0.25">
      <c r="B17" s="128" t="s">
        <v>9</v>
      </c>
      <c r="C17" s="124">
        <v>12992</v>
      </c>
      <c r="F17" s="72" t="s">
        <v>18</v>
      </c>
      <c r="G17" s="124">
        <v>171242</v>
      </c>
    </row>
    <row r="18" spans="2:7" x14ac:dyDescent="0.25">
      <c r="B18" s="128" t="s">
        <v>10</v>
      </c>
      <c r="C18" s="124">
        <v>13275</v>
      </c>
      <c r="F18" s="72" t="s">
        <v>20</v>
      </c>
      <c r="G18" s="124">
        <v>202097</v>
      </c>
    </row>
    <row r="19" spans="2:7" ht="15.75" thickBot="1" x14ac:dyDescent="0.3">
      <c r="B19" s="128" t="s">
        <v>7</v>
      </c>
      <c r="C19" s="124">
        <v>2000</v>
      </c>
      <c r="F19" s="125" t="s">
        <v>37</v>
      </c>
      <c r="G19" s="127">
        <v>950127</v>
      </c>
    </row>
    <row r="20" spans="2:7" x14ac:dyDescent="0.25">
      <c r="B20" s="128" t="s">
        <v>61</v>
      </c>
      <c r="C20" s="124">
        <v>14520</v>
      </c>
    </row>
    <row r="21" spans="2:7" x14ac:dyDescent="0.25">
      <c r="B21" s="128" t="s">
        <v>26</v>
      </c>
      <c r="C21" s="124">
        <v>10800</v>
      </c>
    </row>
    <row r="22" spans="2:7" x14ac:dyDescent="0.25">
      <c r="B22" s="72" t="s">
        <v>16</v>
      </c>
      <c r="C22" s="124">
        <v>184825</v>
      </c>
    </row>
    <row r="23" spans="2:7" x14ac:dyDescent="0.25">
      <c r="B23" s="128" t="s">
        <v>62</v>
      </c>
      <c r="C23" s="124">
        <v>31280</v>
      </c>
    </row>
    <row r="24" spans="2:7" x14ac:dyDescent="0.25">
      <c r="B24" s="128" t="s">
        <v>28</v>
      </c>
      <c r="C24" s="124">
        <v>21402</v>
      </c>
    </row>
    <row r="25" spans="2:7" x14ac:dyDescent="0.25">
      <c r="B25" s="128" t="s">
        <v>27</v>
      </c>
      <c r="C25" s="124">
        <v>11050</v>
      </c>
    </row>
    <row r="26" spans="2:7" x14ac:dyDescent="0.25">
      <c r="B26" s="128" t="s">
        <v>9</v>
      </c>
      <c r="C26" s="124">
        <v>6048</v>
      </c>
    </row>
    <row r="27" spans="2:7" x14ac:dyDescent="0.25">
      <c r="B27" s="128" t="s">
        <v>10</v>
      </c>
      <c r="C27" s="124">
        <v>2520</v>
      </c>
    </row>
    <row r="28" spans="2:7" x14ac:dyDescent="0.25">
      <c r="B28" s="128" t="s">
        <v>7</v>
      </c>
      <c r="C28" s="124">
        <v>6375</v>
      </c>
    </row>
    <row r="29" spans="2:7" x14ac:dyDescent="0.25">
      <c r="B29" s="128" t="s">
        <v>61</v>
      </c>
      <c r="C29" s="124">
        <v>106150</v>
      </c>
    </row>
    <row r="30" spans="2:7" x14ac:dyDescent="0.25">
      <c r="B30" s="72" t="s">
        <v>17</v>
      </c>
      <c r="C30" s="124">
        <v>245736</v>
      </c>
    </row>
    <row r="31" spans="2:7" x14ac:dyDescent="0.25">
      <c r="B31" s="128" t="s">
        <v>62</v>
      </c>
      <c r="C31" s="124">
        <v>31144</v>
      </c>
    </row>
    <row r="32" spans="2:7" x14ac:dyDescent="0.25">
      <c r="B32" s="128" t="s">
        <v>28</v>
      </c>
      <c r="C32" s="124">
        <v>71340</v>
      </c>
    </row>
    <row r="33" spans="2:3" x14ac:dyDescent="0.25">
      <c r="B33" s="128" t="s">
        <v>27</v>
      </c>
      <c r="C33" s="124">
        <v>18200</v>
      </c>
    </row>
    <row r="34" spans="2:3" x14ac:dyDescent="0.25">
      <c r="B34" s="128" t="s">
        <v>9</v>
      </c>
      <c r="C34" s="124">
        <v>22912</v>
      </c>
    </row>
    <row r="35" spans="2:3" x14ac:dyDescent="0.25">
      <c r="B35" s="128" t="s">
        <v>10</v>
      </c>
      <c r="C35" s="124">
        <v>8100</v>
      </c>
    </row>
    <row r="36" spans="2:3" x14ac:dyDescent="0.25">
      <c r="B36" s="128" t="s">
        <v>7</v>
      </c>
      <c r="C36" s="124">
        <v>5900</v>
      </c>
    </row>
    <row r="37" spans="2:3" x14ac:dyDescent="0.25">
      <c r="B37" s="128" t="s">
        <v>61</v>
      </c>
      <c r="C37" s="124">
        <v>80850</v>
      </c>
    </row>
    <row r="38" spans="2:3" x14ac:dyDescent="0.25">
      <c r="B38" s="128" t="s">
        <v>26</v>
      </c>
      <c r="C38" s="124">
        <v>7290</v>
      </c>
    </row>
    <row r="39" spans="2:3" x14ac:dyDescent="0.25">
      <c r="B39" s="72" t="s">
        <v>18</v>
      </c>
      <c r="C39" s="124">
        <v>171242</v>
      </c>
    </row>
    <row r="40" spans="2:3" x14ac:dyDescent="0.25">
      <c r="B40" s="128" t="s">
        <v>62</v>
      </c>
      <c r="C40" s="124">
        <v>28560</v>
      </c>
    </row>
    <row r="41" spans="2:3" x14ac:dyDescent="0.25">
      <c r="B41" s="128" t="s">
        <v>28</v>
      </c>
      <c r="C41" s="124">
        <v>13920</v>
      </c>
    </row>
    <row r="42" spans="2:3" x14ac:dyDescent="0.25">
      <c r="B42" s="128" t="s">
        <v>27</v>
      </c>
      <c r="C42" s="124">
        <v>13000</v>
      </c>
    </row>
    <row r="43" spans="2:3" x14ac:dyDescent="0.25">
      <c r="B43" s="128" t="s">
        <v>9</v>
      </c>
      <c r="C43" s="124">
        <v>29792</v>
      </c>
    </row>
    <row r="44" spans="2:3" x14ac:dyDescent="0.25">
      <c r="B44" s="128" t="s">
        <v>10</v>
      </c>
      <c r="C44" s="124">
        <v>29745</v>
      </c>
    </row>
    <row r="45" spans="2:3" x14ac:dyDescent="0.25">
      <c r="B45" s="128" t="s">
        <v>7</v>
      </c>
      <c r="C45" s="124">
        <v>25075</v>
      </c>
    </row>
    <row r="46" spans="2:3" x14ac:dyDescent="0.25">
      <c r="B46" s="128" t="s">
        <v>61</v>
      </c>
      <c r="C46" s="124">
        <v>5500</v>
      </c>
    </row>
    <row r="47" spans="2:3" x14ac:dyDescent="0.25">
      <c r="B47" s="128" t="s">
        <v>26</v>
      </c>
      <c r="C47" s="124">
        <v>25650</v>
      </c>
    </row>
    <row r="48" spans="2:3" x14ac:dyDescent="0.25">
      <c r="B48" s="72" t="s">
        <v>20</v>
      </c>
      <c r="C48" s="124">
        <v>202097</v>
      </c>
    </row>
    <row r="49" spans="2:3" x14ac:dyDescent="0.25">
      <c r="B49" s="128" t="s">
        <v>62</v>
      </c>
      <c r="C49" s="124">
        <v>28560</v>
      </c>
    </row>
    <row r="50" spans="2:3" x14ac:dyDescent="0.25">
      <c r="B50" s="128" t="s">
        <v>28</v>
      </c>
      <c r="C50" s="124">
        <v>43152</v>
      </c>
    </row>
    <row r="51" spans="2:3" x14ac:dyDescent="0.25">
      <c r="B51" s="128" t="s">
        <v>27</v>
      </c>
      <c r="C51" s="124">
        <v>26000</v>
      </c>
    </row>
    <row r="52" spans="2:3" x14ac:dyDescent="0.25">
      <c r="B52" s="128" t="s">
        <v>9</v>
      </c>
      <c r="C52" s="124">
        <v>2560</v>
      </c>
    </row>
    <row r="53" spans="2:3" x14ac:dyDescent="0.25">
      <c r="B53" s="128" t="s">
        <v>10</v>
      </c>
      <c r="C53" s="124">
        <v>9585</v>
      </c>
    </row>
    <row r="54" spans="2:3" x14ac:dyDescent="0.25">
      <c r="B54" s="128" t="s">
        <v>7</v>
      </c>
      <c r="C54" s="124">
        <v>4450</v>
      </c>
    </row>
    <row r="55" spans="2:3" x14ac:dyDescent="0.25">
      <c r="B55" s="128" t="s">
        <v>61</v>
      </c>
      <c r="C55" s="124">
        <v>70510</v>
      </c>
    </row>
    <row r="56" spans="2:3" x14ac:dyDescent="0.25">
      <c r="B56" s="128" t="s">
        <v>26</v>
      </c>
      <c r="C56" s="124">
        <v>17280</v>
      </c>
    </row>
    <row r="57" spans="2:3" ht="15.75" thickBot="1" x14ac:dyDescent="0.3">
      <c r="B57" s="125" t="s">
        <v>37</v>
      </c>
      <c r="C57" s="127">
        <v>950127</v>
      </c>
    </row>
  </sheetData>
  <pageMargins left="0.7" right="0.7" top="0.75" bottom="0.75" header="0.3" footer="0.3"/>
  <pageSetup paperSize="9" orientation="portrait" verticalDpi="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G12" sqref="G12:G13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thickBot="1" x14ac:dyDescent="0.3">
      <c r="A1" s="136" t="s">
        <v>0</v>
      </c>
      <c r="B1" s="50" t="s">
        <v>1</v>
      </c>
      <c r="C1" s="1"/>
      <c r="D1" s="1"/>
      <c r="F1" s="1"/>
      <c r="G1" s="1"/>
    </row>
    <row r="2" spans="1:7" ht="27.75" customHeight="1" x14ac:dyDescent="0.25">
      <c r="A2" s="117" t="s">
        <v>2</v>
      </c>
      <c r="B2" s="42" t="s">
        <v>29</v>
      </c>
      <c r="D2" s="2"/>
      <c r="G2" s="4"/>
    </row>
    <row r="3" spans="1:7" x14ac:dyDescent="0.25">
      <c r="A3" s="117" t="s">
        <v>3</v>
      </c>
      <c r="B3" s="42" t="s">
        <v>30</v>
      </c>
      <c r="D3" s="2"/>
      <c r="G3" s="4"/>
    </row>
    <row r="4" spans="1:7" ht="15.75" thickBot="1" x14ac:dyDescent="0.3">
      <c r="A4" s="118" t="s">
        <v>4</v>
      </c>
      <c r="B4" s="44" t="s">
        <v>29</v>
      </c>
      <c r="D4" s="2"/>
      <c r="G4" s="4"/>
    </row>
    <row r="5" spans="1:7" x14ac:dyDescent="0.25">
      <c r="G5" s="4"/>
    </row>
    <row r="6" spans="1:7" x14ac:dyDescent="0.25">
      <c r="D6" s="51"/>
      <c r="E6" s="51"/>
    </row>
    <row r="7" spans="1:7" x14ac:dyDescent="0.25">
      <c r="D7" s="51"/>
      <c r="E7" s="51"/>
    </row>
    <row r="8" spans="1:7" x14ac:dyDescent="0.25">
      <c r="D8" s="51"/>
      <c r="E8" s="51"/>
    </row>
    <row r="9" spans="1:7" x14ac:dyDescent="0.25">
      <c r="D9" s="51"/>
      <c r="E9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F19" sqref="F19"/>
    </sheetView>
  </sheetViews>
  <sheetFormatPr defaultColWidth="8.85546875" defaultRowHeight="15" x14ac:dyDescent="0.25"/>
  <cols>
    <col min="1" max="1" width="19.28515625" bestFit="1" customWidth="1"/>
    <col min="2" max="2" width="18.42578125" bestFit="1" customWidth="1"/>
    <col min="3" max="3" width="21.140625" bestFit="1" customWidth="1"/>
    <col min="6" max="6" width="24.28515625" bestFit="1" customWidth="1"/>
    <col min="7" max="11" width="12.42578125" bestFit="1" customWidth="1"/>
    <col min="12" max="12" width="11.42578125" bestFit="1" customWidth="1"/>
    <col min="13" max="13" width="9.85546875" bestFit="1" customWidth="1"/>
  </cols>
  <sheetData>
    <row r="1" spans="1:13" ht="30.75" thickBot="1" x14ac:dyDescent="0.3">
      <c r="A1" s="45" t="s">
        <v>5</v>
      </c>
      <c r="B1" s="46" t="s">
        <v>6</v>
      </c>
      <c r="C1" s="58" t="s">
        <v>31</v>
      </c>
      <c r="F1" s="60" t="s">
        <v>5</v>
      </c>
      <c r="G1" s="61" t="s">
        <v>32</v>
      </c>
      <c r="H1" s="61" t="s">
        <v>33</v>
      </c>
      <c r="I1" s="61" t="s">
        <v>34</v>
      </c>
      <c r="J1" s="61" t="s">
        <v>35</v>
      </c>
      <c r="K1" s="61" t="s">
        <v>36</v>
      </c>
      <c r="L1" s="61" t="s">
        <v>38</v>
      </c>
      <c r="M1" s="62" t="s">
        <v>39</v>
      </c>
    </row>
    <row r="2" spans="1:13" x14ac:dyDescent="0.25">
      <c r="A2" s="53" t="s">
        <v>7</v>
      </c>
      <c r="B2" s="51" t="s">
        <v>8</v>
      </c>
      <c r="C2" s="52">
        <v>25</v>
      </c>
      <c r="F2" s="59" t="s">
        <v>7</v>
      </c>
      <c r="G2" s="54">
        <v>25</v>
      </c>
      <c r="H2" s="54">
        <v>25</v>
      </c>
      <c r="I2" s="54">
        <v>34</v>
      </c>
      <c r="J2" s="54">
        <v>34</v>
      </c>
      <c r="K2" s="54">
        <v>40</v>
      </c>
      <c r="L2" s="55">
        <f>AVERAGE(Цены_таблица[[#This Row],[01.01.2017]:[01.11.2017]])</f>
        <v>31.6</v>
      </c>
      <c r="M2" s="54"/>
    </row>
    <row r="3" spans="1:13" x14ac:dyDescent="0.25">
      <c r="A3" s="53" t="s">
        <v>9</v>
      </c>
      <c r="B3" s="51" t="s">
        <v>8</v>
      </c>
      <c r="C3" s="52">
        <v>32</v>
      </c>
      <c r="F3" s="53" t="s">
        <v>9</v>
      </c>
      <c r="G3" s="56">
        <v>32</v>
      </c>
      <c r="H3" s="56">
        <v>32</v>
      </c>
      <c r="I3" s="56">
        <v>30</v>
      </c>
      <c r="J3" s="56">
        <v>36</v>
      </c>
      <c r="K3" s="56">
        <v>36.6666666666667</v>
      </c>
      <c r="L3" s="57">
        <f>AVERAGE(Цены_таблица[[#This Row],[01.01.2017]:[01.11.2017]])</f>
        <v>33.333333333333336</v>
      </c>
      <c r="M3" s="56"/>
    </row>
    <row r="4" spans="1:13" x14ac:dyDescent="0.25">
      <c r="A4" s="53" t="s">
        <v>10</v>
      </c>
      <c r="B4" s="51" t="s">
        <v>8</v>
      </c>
      <c r="C4" s="52">
        <v>45</v>
      </c>
      <c r="F4" s="53" t="s">
        <v>10</v>
      </c>
      <c r="G4" s="56">
        <v>45</v>
      </c>
      <c r="H4" s="56">
        <v>45</v>
      </c>
      <c r="I4" s="56">
        <v>43</v>
      </c>
      <c r="J4" s="56">
        <v>48</v>
      </c>
      <c r="K4" s="56">
        <v>40</v>
      </c>
      <c r="L4" s="57">
        <f>AVERAGE(Цены_таблица[[#This Row],[01.01.2017]:[01.11.2017]])</f>
        <v>44.2</v>
      </c>
      <c r="M4" s="56"/>
    </row>
    <row r="5" spans="1:13" x14ac:dyDescent="0.25">
      <c r="A5" s="53" t="s">
        <v>26</v>
      </c>
      <c r="B5" s="51" t="s">
        <v>11</v>
      </c>
      <c r="C5" s="52">
        <v>54</v>
      </c>
      <c r="F5" s="53" t="s">
        <v>26</v>
      </c>
      <c r="G5" s="56">
        <v>54</v>
      </c>
      <c r="H5" s="56">
        <v>80</v>
      </c>
      <c r="I5" s="56">
        <v>60</v>
      </c>
      <c r="J5" s="56">
        <v>65</v>
      </c>
      <c r="K5" s="56">
        <v>53.3333333333333</v>
      </c>
      <c r="L5" s="57">
        <f>AVERAGE(Цены_таблица[[#This Row],[01.01.2017]:[01.11.2017]])</f>
        <v>62.466666666666661</v>
      </c>
      <c r="M5" s="56"/>
    </row>
    <row r="6" spans="1:13" x14ac:dyDescent="0.25">
      <c r="A6" s="53" t="s">
        <v>27</v>
      </c>
      <c r="B6" s="51" t="s">
        <v>11</v>
      </c>
      <c r="C6" s="52">
        <v>65</v>
      </c>
      <c r="F6" s="53" t="s">
        <v>27</v>
      </c>
      <c r="G6" s="56">
        <v>65</v>
      </c>
      <c r="H6" s="56">
        <v>56</v>
      </c>
      <c r="I6" s="56">
        <v>72</v>
      </c>
      <c r="J6" s="56">
        <v>78</v>
      </c>
      <c r="K6" s="56">
        <v>90.6666666666667</v>
      </c>
      <c r="L6" s="57">
        <f>AVERAGE(Цены_таблица[[#This Row],[01.01.2017]:[01.11.2017]])</f>
        <v>72.333333333333343</v>
      </c>
      <c r="M6" s="56"/>
    </row>
    <row r="7" spans="1:13" x14ac:dyDescent="0.25">
      <c r="A7" s="53" t="s">
        <v>28</v>
      </c>
      <c r="B7" s="51" t="s">
        <v>11</v>
      </c>
      <c r="C7" s="52">
        <v>87</v>
      </c>
      <c r="F7" s="53" t="s">
        <v>28</v>
      </c>
      <c r="G7" s="56">
        <v>87</v>
      </c>
      <c r="H7" s="56">
        <v>90</v>
      </c>
      <c r="I7" s="56">
        <v>96</v>
      </c>
      <c r="J7" s="56">
        <v>96</v>
      </c>
      <c r="K7" s="56">
        <v>100</v>
      </c>
      <c r="L7" s="57">
        <f>AVERAGE(Цены_таблица[[#This Row],[01.01.2017]:[01.11.2017]])</f>
        <v>93.8</v>
      </c>
      <c r="M7" s="56"/>
    </row>
    <row r="8" spans="1:13" x14ac:dyDescent="0.25">
      <c r="A8" s="53" t="s">
        <v>61</v>
      </c>
      <c r="B8" s="51" t="s">
        <v>12</v>
      </c>
      <c r="C8" s="52">
        <v>110</v>
      </c>
      <c r="F8" s="53" t="s">
        <v>61</v>
      </c>
      <c r="G8" s="56">
        <v>110</v>
      </c>
      <c r="H8" s="56">
        <v>120</v>
      </c>
      <c r="I8" s="56">
        <v>130</v>
      </c>
      <c r="J8" s="56">
        <v>140</v>
      </c>
      <c r="K8" s="56">
        <v>150</v>
      </c>
      <c r="L8" s="57">
        <f>AVERAGE(Цены_таблица[[#This Row],[01.01.2017]:[01.11.2017]])</f>
        <v>130</v>
      </c>
      <c r="M8" s="56"/>
    </row>
    <row r="9" spans="1:13" x14ac:dyDescent="0.25">
      <c r="A9" s="53" t="s">
        <v>62</v>
      </c>
      <c r="B9" s="51" t="s">
        <v>12</v>
      </c>
      <c r="C9" s="52">
        <v>136</v>
      </c>
      <c r="F9" s="53" t="s">
        <v>62</v>
      </c>
      <c r="G9" s="56">
        <v>136</v>
      </c>
      <c r="H9" s="56">
        <v>140</v>
      </c>
      <c r="I9" s="56">
        <v>147</v>
      </c>
      <c r="J9" s="56">
        <v>147</v>
      </c>
      <c r="K9" s="56">
        <v>145</v>
      </c>
      <c r="L9" s="57">
        <f>AVERAGE(Цены_таблица[[#This Row],[01.01.2017]:[01.11.2017]])</f>
        <v>143</v>
      </c>
      <c r="M9" s="56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'Информация о товаарах'!G2:M2</xm:f>
              <xm:sqref>M2</xm:sqref>
            </x14:sparkline>
            <x14:sparkline>
              <xm:f>'Информация о товаарах'!G3:M3</xm:f>
              <xm:sqref>M3</xm:sqref>
            </x14:sparkline>
            <x14:sparkline>
              <xm:f>'Информация о товаарах'!G4:M4</xm:f>
              <xm:sqref>M4</xm:sqref>
            </x14:sparkline>
            <x14:sparkline>
              <xm:f>'Информация о товаарах'!G5:M5</xm:f>
              <xm:sqref>M5</xm:sqref>
            </x14:sparkline>
            <x14:sparkline>
              <xm:f>'Информация о товаарах'!G6:M6</xm:f>
              <xm:sqref>M6</xm:sqref>
            </x14:sparkline>
            <x14:sparkline>
              <xm:f>'Информация о товаарах'!G7:M7</xm:f>
              <xm:sqref>M7</xm:sqref>
            </x14:sparkline>
            <x14:sparkline>
              <xm:f>'Информация о товаарах'!G8:M8</xm:f>
              <xm:sqref>M8</xm:sqref>
            </x14:sparkline>
            <x14:sparkline>
              <xm:f>'Информация о товаарах'!G9:M9</xm:f>
              <xm:sqref>M9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5" sqref="B15"/>
    </sheetView>
  </sheetViews>
  <sheetFormatPr defaultColWidth="8.85546875" defaultRowHeight="15" x14ac:dyDescent="0.25"/>
  <cols>
    <col min="1" max="1" width="27.5703125" bestFit="1" customWidth="1"/>
    <col min="2" max="2" width="16" bestFit="1" customWidth="1"/>
    <col min="4" max="4" width="16" bestFit="1" customWidth="1"/>
    <col min="5" max="5" width="35.85546875" bestFit="1" customWidth="1"/>
    <col min="6" max="6" width="17.42578125" bestFit="1" customWidth="1"/>
    <col min="7" max="7" width="28.7109375" bestFit="1" customWidth="1"/>
  </cols>
  <sheetData>
    <row r="1" spans="1:7" ht="15.75" thickBot="1" x14ac:dyDescent="0.3">
      <c r="A1" s="45" t="s">
        <v>13</v>
      </c>
      <c r="B1" s="58" t="s">
        <v>14</v>
      </c>
      <c r="D1" s="64" t="s">
        <v>14</v>
      </c>
      <c r="E1" s="65" t="s">
        <v>15</v>
      </c>
      <c r="F1" s="65" t="s">
        <v>40</v>
      </c>
      <c r="G1" s="66" t="s">
        <v>41</v>
      </c>
    </row>
    <row r="2" spans="1:7" x14ac:dyDescent="0.25">
      <c r="A2" s="41" t="s">
        <v>16</v>
      </c>
      <c r="B2" s="42" t="s">
        <v>24</v>
      </c>
      <c r="D2" s="67" t="s">
        <v>24</v>
      </c>
      <c r="E2" s="63">
        <v>3500</v>
      </c>
      <c r="F2" s="63">
        <v>30000</v>
      </c>
      <c r="G2" s="68">
        <v>0.04</v>
      </c>
    </row>
    <row r="3" spans="1:7" ht="15.75" thickBot="1" x14ac:dyDescent="0.3">
      <c r="A3" s="41" t="s">
        <v>17</v>
      </c>
      <c r="B3" s="42" t="s">
        <v>24</v>
      </c>
      <c r="D3" s="69" t="s">
        <v>25</v>
      </c>
      <c r="E3" s="70">
        <v>4100</v>
      </c>
      <c r="F3" s="70">
        <v>40000</v>
      </c>
      <c r="G3" s="71">
        <v>0.06</v>
      </c>
    </row>
    <row r="4" spans="1:7" x14ac:dyDescent="0.25">
      <c r="A4" s="41" t="s">
        <v>18</v>
      </c>
      <c r="B4" s="42" t="s">
        <v>24</v>
      </c>
    </row>
    <row r="5" spans="1:7" x14ac:dyDescent="0.25">
      <c r="A5" s="41" t="s">
        <v>19</v>
      </c>
      <c r="B5" s="42" t="s">
        <v>25</v>
      </c>
    </row>
    <row r="6" spans="1:7" ht="15.75" thickBot="1" x14ac:dyDescent="0.3">
      <c r="A6" s="43" t="s">
        <v>20</v>
      </c>
      <c r="B6" s="44" t="s">
        <v>25</v>
      </c>
    </row>
    <row r="7" spans="1:7" x14ac:dyDescent="0.25">
      <c r="A7" s="3"/>
    </row>
    <row r="8" spans="1:7" x14ac:dyDescent="0.25">
      <c r="A8" s="3"/>
    </row>
    <row r="9" spans="1:7" x14ac:dyDescent="0.25">
      <c r="A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2:P15"/>
  <sheetViews>
    <sheetView workbookViewId="0">
      <selection activeCell="G6" sqref="G6"/>
    </sheetView>
  </sheetViews>
  <sheetFormatPr defaultColWidth="8.85546875" defaultRowHeight="15" x14ac:dyDescent="0.25"/>
  <cols>
    <col min="1" max="1" width="27.5703125" bestFit="1" customWidth="1"/>
    <col min="2" max="2" width="7.140625" bestFit="1" customWidth="1"/>
    <col min="3" max="3" width="14.42578125" bestFit="1" customWidth="1"/>
    <col min="4" max="7" width="13.42578125" bestFit="1" customWidth="1"/>
  </cols>
  <sheetData>
    <row r="2" spans="1:16" ht="15.75" thickBot="1" x14ac:dyDescent="0.3"/>
    <row r="3" spans="1:16" ht="30.75" thickBot="1" x14ac:dyDescent="0.3">
      <c r="A3" s="64" t="s">
        <v>42</v>
      </c>
      <c r="B3" s="65" t="s">
        <v>43</v>
      </c>
      <c r="C3" s="65" t="s">
        <v>44</v>
      </c>
      <c r="D3" s="65" t="s">
        <v>45</v>
      </c>
      <c r="E3" s="65" t="s">
        <v>46</v>
      </c>
      <c r="F3" s="65" t="s">
        <v>47</v>
      </c>
      <c r="G3" s="66" t="s">
        <v>48</v>
      </c>
    </row>
    <row r="4" spans="1:16" x14ac:dyDescent="0.25">
      <c r="A4" s="76" t="s">
        <v>19</v>
      </c>
      <c r="B4" s="77" t="str">
        <f>VLOOKUP(A4,'Информация о менеджерах'!$A$2:$B$6,2,FALSE)</f>
        <v>Запад</v>
      </c>
      <c r="C4" s="78">
        <f ca="1">SUMIF(ФИО_менеджера,Премии!A4,Продажи!$G$96:$G$131)</f>
        <v>38310</v>
      </c>
      <c r="D4" s="63" t="str">
        <f ca="1">IF(C4&gt;40000,5%*C4,"")</f>
        <v/>
      </c>
      <c r="E4" s="63" t="str">
        <f ca="1">IF(C4&gt;VLOOKUP(B4,'Информация о менеджерах'!$D$2:$G$3,3,2),5%*C4,"")</f>
        <v/>
      </c>
      <c r="F4" s="63" t="str">
        <f ca="1">IF(C4&gt;VLOOKUP(B4,'Информация о менеджерах'!$D$2:$G$3,3),VLOOKUP(VLOOKUP(A4,'Информация о менеджерах'!$A$2:$B$6,2),'Информация о менеджерах'!$D$2:$G$3,2),"")</f>
        <v/>
      </c>
      <c r="G4" s="79">
        <f>VLOOKUP(B4,'Информация о менеджерах'!$D$2:$G$3,2)</f>
        <v>4100</v>
      </c>
    </row>
    <row r="5" spans="1:16" x14ac:dyDescent="0.25">
      <c r="A5" s="72" t="s">
        <v>16</v>
      </c>
      <c r="B5" s="8" t="str">
        <f>VLOOKUP(A5,'Информация о менеджерах'!$A$2:$B$6,2,FALSE)</f>
        <v>Восток</v>
      </c>
      <c r="C5" s="9">
        <f ca="1">SUMIF(ФИО_менеджера,Премии!A5,Продажи!$G$96:$G$131)</f>
        <v>58545</v>
      </c>
      <c r="D5" s="7">
        <f t="shared" ref="D5:D8" ca="1" si="0">IF(C5&gt;40000,5%*C5,"")</f>
        <v>2927.25</v>
      </c>
      <c r="E5" s="7">
        <f ca="1">IF(C5&gt;VLOOKUP(B5,'Информация о менеджерах'!$D$2:$G$3,3,2),5%*C5,"")</f>
        <v>2927.25</v>
      </c>
      <c r="F5" s="7">
        <f ca="1">IF(C5&gt;VLOOKUP(B5,'Информация о менеджерах'!$D$2:$G$3,3),VLOOKUP(VLOOKUP(A5,'Информация о менеджерах'!$A$2:$B$6,2),'Информация о менеджерах'!$D$2:$G$3,2),"")</f>
        <v>3500</v>
      </c>
      <c r="G5" s="73">
        <f>VLOOKUP(B5,'Информация о менеджерах'!$D$2:$G$3,2)</f>
        <v>3500</v>
      </c>
    </row>
    <row r="6" spans="1:16" x14ac:dyDescent="0.25">
      <c r="A6" s="72" t="s">
        <v>17</v>
      </c>
      <c r="B6" s="8" t="str">
        <f>VLOOKUP(A6,'Информация о менеджерах'!$A$2:$B$6,2,FALSE)</f>
        <v>Восток</v>
      </c>
      <c r="C6" s="9">
        <f ca="1">SUMIF(ФИО_менеджера,Премии!A6,Продажи!$G$96:$G$131)</f>
        <v>54928</v>
      </c>
      <c r="D6" s="7">
        <f t="shared" ca="1" si="0"/>
        <v>2746.4</v>
      </c>
      <c r="E6" s="7">
        <f ca="1">IF(C6&gt;VLOOKUP(B6,'Информация о менеджерах'!$D$2:$G$3,3,2),5%*C6,"")</f>
        <v>2746.4</v>
      </c>
      <c r="F6" s="7">
        <f ca="1">IF(C6&gt;VLOOKUP(B6,'Информация о менеджерах'!$D$2:$G$3,3),VLOOKUP(VLOOKUP(A6,'Информация о менеджерах'!$A$2:$B$6,2),'Информация о менеджерах'!$D$2:$G$3,2),"")</f>
        <v>3500</v>
      </c>
      <c r="G6" s="73">
        <f>VLOOKUP(B6,'Информация о менеджерах'!$D$2:$G$3,2)</f>
        <v>3500</v>
      </c>
    </row>
    <row r="7" spans="1:16" x14ac:dyDescent="0.25">
      <c r="A7" s="72" t="s">
        <v>18</v>
      </c>
      <c r="B7" s="8" t="str">
        <f>VLOOKUP(A7,'Информация о менеджерах'!$A$2:$B$6,2,FALSE)</f>
        <v>Восток</v>
      </c>
      <c r="C7" s="9">
        <f ca="1">SUMIF(ФИО_менеджера,Премии!A7,Продажи!$G$96:$G$131)</f>
        <v>53722</v>
      </c>
      <c r="D7" s="7">
        <f t="shared" ca="1" si="0"/>
        <v>2686.1000000000004</v>
      </c>
      <c r="E7" s="7">
        <f ca="1">IF(C7&gt;VLOOKUP(B7,'Информация о менеджерах'!$D$2:$G$3,3,2),5%*C7,"")</f>
        <v>2686.1000000000004</v>
      </c>
      <c r="F7" s="7">
        <f ca="1">IF(C7&gt;VLOOKUP(B7,'Информация о менеджерах'!$D$2:$G$3,3),VLOOKUP(VLOOKUP(A7,'Информация о менеджерах'!$A$2:$B$6,2),'Информация о менеджерах'!$D$2:$G$3,2),"")</f>
        <v>3500</v>
      </c>
      <c r="G7" s="73">
        <f>VLOOKUP(B7,'Информация о менеджерах'!$D$2:$G$3,2)</f>
        <v>3500</v>
      </c>
    </row>
    <row r="8" spans="1:16" ht="15.75" thickBot="1" x14ac:dyDescent="0.3">
      <c r="A8" s="81" t="s">
        <v>20</v>
      </c>
      <c r="B8" s="8" t="str">
        <f>VLOOKUP(A8,'Информация о менеджерах'!$A$2:$B$6,2,FALSE)</f>
        <v>Запад</v>
      </c>
      <c r="C8" s="9">
        <f ca="1">SUMIF(ФИО_менеджера,Премии!A8,Продажи!$G$96:$G$131)</f>
        <v>40072</v>
      </c>
      <c r="D8" s="7">
        <f t="shared" ca="1" si="0"/>
        <v>2003.6000000000001</v>
      </c>
      <c r="E8" s="7">
        <f ca="1">IF(C8&gt;VLOOKUP(B8,'Информация о менеджерах'!$D$2:$G$3,3,2),5%*C8,"")</f>
        <v>2003.6000000000001</v>
      </c>
      <c r="F8" s="7">
        <f ca="1">IF(C8&gt;VLOOKUP(B8,'Информация о менеджерах'!$D$2:$G$3,3),VLOOKUP(VLOOKUP(A8,'Информация о менеджерах'!$A$2:$B$6,2),'Информация о менеджерах'!$D$2:$G$3,2),"")</f>
        <v>4100</v>
      </c>
      <c r="G8" s="73">
        <f>VLOOKUP(B8,'Информация о менеджерах'!$D$2:$G$3,2)</f>
        <v>4100</v>
      </c>
    </row>
    <row r="9" spans="1:16" ht="15.75" thickBot="1" x14ac:dyDescent="0.3">
      <c r="A9" s="82" t="s">
        <v>37</v>
      </c>
      <c r="B9" s="80"/>
      <c r="C9" s="74">
        <f ca="1">SUM(C4:C8)</f>
        <v>245577</v>
      </c>
      <c r="D9" s="74">
        <f ca="1">SUM(D4:D8)</f>
        <v>10363.35</v>
      </c>
      <c r="E9" s="74">
        <f ca="1">SUM(E4:E8)</f>
        <v>10363.35</v>
      </c>
      <c r="F9" s="74">
        <f ca="1">SUM(F4:F8)</f>
        <v>14600</v>
      </c>
      <c r="G9" s="75">
        <f>SUM(G4:G8)</f>
        <v>18700</v>
      </c>
    </row>
    <row r="11" spans="1:16" ht="15.75" thickBot="1" x14ac:dyDescent="0.3"/>
    <row r="12" spans="1:16" x14ac:dyDescent="0.25">
      <c r="A12" s="116" t="s">
        <v>49</v>
      </c>
      <c r="B12" s="155" t="s">
        <v>50</v>
      </c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6"/>
    </row>
    <row r="13" spans="1:16" x14ac:dyDescent="0.25">
      <c r="A13" s="117" t="s">
        <v>51</v>
      </c>
      <c r="B13" s="157" t="s">
        <v>52</v>
      </c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8"/>
    </row>
    <row r="14" spans="1:16" x14ac:dyDescent="0.25">
      <c r="A14" s="117" t="s">
        <v>53</v>
      </c>
      <c r="B14" s="157" t="s">
        <v>54</v>
      </c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8"/>
    </row>
    <row r="15" spans="1:16" ht="15.75" thickBot="1" x14ac:dyDescent="0.3">
      <c r="A15" s="118" t="s">
        <v>55</v>
      </c>
      <c r="B15" s="159" t="s">
        <v>56</v>
      </c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60"/>
    </row>
  </sheetData>
  <mergeCells count="4">
    <mergeCell ref="B12:P12"/>
    <mergeCell ref="B13:P13"/>
    <mergeCell ref="B14:P14"/>
    <mergeCell ref="B15:P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E17" sqref="E17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0" ht="15.75" thickBot="1" x14ac:dyDescent="0.3">
      <c r="A1" s="161" t="s">
        <v>57</v>
      </c>
      <c r="B1" s="162"/>
      <c r="C1" s="163"/>
      <c r="E1" s="60" t="s">
        <v>58</v>
      </c>
      <c r="F1" s="97">
        <v>42795</v>
      </c>
      <c r="H1" s="60" t="s">
        <v>59</v>
      </c>
      <c r="I1" s="97">
        <v>42825</v>
      </c>
    </row>
    <row r="2" spans="1:10" ht="15.75" thickBot="1" x14ac:dyDescent="0.3"/>
    <row r="3" spans="1:10" ht="18" customHeight="1" x14ac:dyDescent="0.25">
      <c r="A3" s="83" t="s">
        <v>60</v>
      </c>
      <c r="B3" s="84" t="s">
        <v>7</v>
      </c>
      <c r="C3" s="84" t="s">
        <v>9</v>
      </c>
      <c r="D3" s="84" t="s">
        <v>10</v>
      </c>
      <c r="E3" s="84" t="s">
        <v>26</v>
      </c>
      <c r="F3" s="84" t="s">
        <v>27</v>
      </c>
      <c r="G3" s="84" t="s">
        <v>28</v>
      </c>
      <c r="H3" s="84" t="s">
        <v>61</v>
      </c>
      <c r="I3" s="84" t="s">
        <v>62</v>
      </c>
      <c r="J3" s="85" t="s">
        <v>63</v>
      </c>
    </row>
    <row r="4" spans="1:10" x14ac:dyDescent="0.25">
      <c r="A4" s="86" t="s">
        <v>16</v>
      </c>
      <c r="B4" s="10">
        <f>SUMIFS(Таблица1[Чистая стоимость],ФИО_менеджера,$A4,Наименование_Товара,B$3,Дата,"&gt;="&amp;Начало_периода,Дата,"&lt;="&amp;Конец_периода)</f>
        <v>0</v>
      </c>
      <c r="C4" s="10">
        <f>SUMIFS(Таблица1[Чистая стоимость],ФИО_менеджера,$A4,Наименование_Товара,C$3,Дата,"&gt;="&amp;Начало_периода,Дата,"&lt;="&amp;Конец_периода)</f>
        <v>2848</v>
      </c>
      <c r="D4" s="10">
        <f>SUMIFS(Таблица1[Чистая стоимость],ФИО_менеджера,$A4,Наименование_Товара,D$3,Дата,"&gt;="&amp;Начало_периода,Дата,"&lt;="&amp;Конец_периода)</f>
        <v>2520</v>
      </c>
      <c r="E4" s="10">
        <f>SUMIFS(Таблица1[Чистая стоимость],ФИО_менеджера,$A4,Наименование_Товара,E$3,Дата,"&gt;="&amp;Начало_периода,Дата,"&lt;="&amp;Конец_периода)</f>
        <v>0</v>
      </c>
      <c r="F4" s="10">
        <f>SUMIFS(Таблица1[Чистая стоимость],ФИО_менеджера,$A4,Наименование_Товара,F$3,Дата,"&gt;="&amp;Начало_периода,Дата,"&lt;="&amp;Конец_периода)</f>
        <v>0</v>
      </c>
      <c r="G4" s="10">
        <f>SUMIFS(Таблица1[Чистая стоимость],ФИО_менеджера,$A4,Наименование_Товара,G$3,Дата,"&gt;="&amp;Начало_периода,Дата,"&lt;="&amp;Конец_периода)</f>
        <v>10440</v>
      </c>
      <c r="H4" s="10">
        <f>SUMIFS(Таблица1[Чистая стоимость],ФИО_менеджера,$A4,Наименование_Товара,H$3,Дата,"&gt;="&amp;Начало_периода,Дата,"&lt;="&amp;Конец_периода)</f>
        <v>0</v>
      </c>
      <c r="I4" s="10">
        <f>SUMIFS(Таблица1[Чистая стоимость],ФИО_менеджера,$A4,Наименование_Товара,I$3,Дата,"&gt;="&amp;Начало_периода,Дата,"&lt;="&amp;Конец_периода)</f>
        <v>0</v>
      </c>
      <c r="J4" s="87">
        <f>SUM(B4:I4)</f>
        <v>15808</v>
      </c>
    </row>
    <row r="5" spans="1:10" x14ac:dyDescent="0.25">
      <c r="A5" s="86" t="s">
        <v>17</v>
      </c>
      <c r="B5" s="10">
        <f>SUMIFS(Таблица1[Чистая стоимость],ФИО_менеджера,$A5,Наименование_Товара,B$3,Дата,"&gt;="&amp;Начало_периода,Дата,"&lt;="&amp;Конец_периода)</f>
        <v>0</v>
      </c>
      <c r="C5" s="10">
        <f>SUMIFS(Таблица1[Чистая стоимость],ФИО_менеджера,$A5,Наименование_Товара,C$3,Дата,"&gt;="&amp;Начало_периода,Дата,"&lt;="&amp;Конец_периода)</f>
        <v>4160</v>
      </c>
      <c r="D5" s="10">
        <f>SUMIFS(Таблица1[Чистая стоимость],ФИО_менеджера,$A5,Наименование_Товара,D$3,Дата,"&gt;="&amp;Начало_периода,Дата,"&lt;="&amp;Конец_периода)</f>
        <v>0</v>
      </c>
      <c r="E5" s="10">
        <f>SUMIFS(Таблица1[Чистая стоимость],ФИО_менеджера,$A5,Наименование_Товара,E$3,Дата,"&gt;="&amp;Начало_периода,Дата,"&lt;="&amp;Конец_периода)</f>
        <v>5400</v>
      </c>
      <c r="F5" s="10">
        <f>SUMIFS(Таблица1[Чистая стоимость],ФИО_менеджера,$A5,Наименование_Товара,F$3,Дата,"&gt;="&amp;Начало_периода,Дата,"&lt;="&amp;Конец_периода)</f>
        <v>0</v>
      </c>
      <c r="G5" s="10">
        <f>SUMIFS(Таблица1[Чистая стоимость],ФИО_менеджера,$A5,Наименование_Товара,G$3,Дата,"&gt;="&amp;Начало_периода,Дата,"&lt;="&amp;Конец_периода)</f>
        <v>0</v>
      </c>
      <c r="H5" s="10">
        <f>SUMIFS(Таблица1[Чистая стоимость],ФИО_менеджера,$A5,Наименование_Товара,H$3,Дата,"&gt;="&amp;Начало_периода,Дата,"&lt;="&amp;Конец_периода)</f>
        <v>20900</v>
      </c>
      <c r="I5" s="10">
        <f>SUMIFS(Таблица1[Чистая стоимость],ФИО_менеджера,$A5,Наименование_Товара,I$3,Дата,"&gt;="&amp;Начало_периода,Дата,"&lt;="&amp;Конец_периода)</f>
        <v>0</v>
      </c>
      <c r="J5" s="87">
        <f t="shared" ref="J5:J8" si="0">SUM(B5:I5)</f>
        <v>30460</v>
      </c>
    </row>
    <row r="6" spans="1:10" x14ac:dyDescent="0.25">
      <c r="A6" s="86" t="s">
        <v>18</v>
      </c>
      <c r="B6" s="10">
        <f>SUMIFS(Таблица1[Чистая стоимость],ФИО_менеджера,$A6,Наименование_Товара,B$3,Дата,"&gt;="&amp;Начало_периода,Дата,"&lt;="&amp;Конец_периода)</f>
        <v>4000</v>
      </c>
      <c r="C6" s="10">
        <f>SUMIFS(Таблица1[Чистая стоимость],ФИО_менеджера,$A6,Наименование_Товара,C$3,Дата,"&gt;="&amp;Начало_периода,Дата,"&lt;="&amp;Конец_периода)</f>
        <v>2240</v>
      </c>
      <c r="D6" s="10">
        <f>SUMIFS(Таблица1[Чистая стоимость],ФИО_менеджера,$A6,Наименование_Товара,D$3,Дата,"&gt;="&amp;Начало_периода,Дата,"&lt;="&amp;Конец_периода)</f>
        <v>0</v>
      </c>
      <c r="E6" s="10">
        <f>SUMIFS(Таблица1[Чистая стоимость],ФИО_менеджера,$A6,Наименование_Товара,E$3,Дата,"&gt;="&amp;Начало_периода,Дата,"&lt;="&amp;Конец_периода)</f>
        <v>0</v>
      </c>
      <c r="F6" s="10">
        <f>SUMIFS(Таблица1[Чистая стоимость],ФИО_менеджера,$A6,Наименование_Товара,F$3,Дата,"&gt;="&amp;Начало_периода,Дата,"&lt;="&amp;Конец_периода)</f>
        <v>0</v>
      </c>
      <c r="G6" s="10">
        <f>SUMIFS(Таблица1[Чистая стоимость],ФИО_менеджера,$A6,Наименование_Товара,G$3,Дата,"&gt;="&amp;Начало_периода,Дата,"&lt;="&amp;Конец_периода)</f>
        <v>8700</v>
      </c>
      <c r="H6" s="10">
        <f>SUMIFS(Таблица1[Чистая стоимость],ФИО_менеджера,$A6,Наименование_Товара,H$3,Дата,"&gt;="&amp;Начало_периода,Дата,"&lt;="&amp;Конец_периода)</f>
        <v>0</v>
      </c>
      <c r="I6" s="10">
        <f>SUMIFS(Таблица1[Чистая стоимость],ФИО_менеджера,$A6,Наименование_Товара,I$3,Дата,"&gt;="&amp;Начало_периода,Дата,"&lt;="&amp;Конец_периода)</f>
        <v>0</v>
      </c>
      <c r="J6" s="87">
        <f t="shared" si="0"/>
        <v>14940</v>
      </c>
    </row>
    <row r="7" spans="1:10" x14ac:dyDescent="0.25">
      <c r="A7" s="86" t="s">
        <v>19</v>
      </c>
      <c r="B7" s="10">
        <f>SUMIFS(Таблица1[Чистая стоимость],ФИО_менеджера,$A7,Наименование_Товара,B$3,Дата,"&gt;="&amp;Начало_периода,Дата,"&lt;="&amp;Конец_периода)</f>
        <v>0</v>
      </c>
      <c r="C7" s="10">
        <f>SUMIFS(Таблица1[Чистая стоимость],ФИО_менеджера,$A7,Наименование_Товара,C$3,Дата,"&gt;="&amp;Начало_периода,Дата,"&lt;="&amp;Конец_периода)</f>
        <v>0</v>
      </c>
      <c r="D7" s="10">
        <f>SUMIFS(Таблица1[Чистая стоимость],ФИО_менеджера,$A7,Наименование_Товара,D$3,Дата,"&gt;="&amp;Начало_периода,Дата,"&lt;="&amp;Конец_периода)</f>
        <v>5400</v>
      </c>
      <c r="E7" s="10">
        <f>SUMIFS(Таблица1[Чистая стоимость],ФИО_менеджера,$A7,Наименование_Товара,E$3,Дата,"&gt;="&amp;Начало_периода,Дата,"&lt;="&amp;Конец_периода)</f>
        <v>0</v>
      </c>
      <c r="F7" s="10">
        <f>SUMIFS(Таблица1[Чистая стоимость],ФИО_менеджера,$A7,Наименование_Товара,F$3,Дата,"&gt;="&amp;Начало_периода,Дата,"&lt;="&amp;Конец_периода)</f>
        <v>0</v>
      </c>
      <c r="G7" s="10">
        <f>SUMIFS(Таблица1[Чистая стоимость],ФИО_менеджера,$A7,Наименование_Товара,G$3,Дата,"&gt;="&amp;Начало_периода,Дата,"&lt;="&amp;Конец_периода)</f>
        <v>0</v>
      </c>
      <c r="H7" s="10">
        <f>SUMIFS(Таблица1[Чистая стоимость],ФИО_менеджера,$A7,Наименование_Товара,H$3,Дата,"&gt;="&amp;Начало_периода,Дата,"&lt;="&amp;Конец_периода)</f>
        <v>13200</v>
      </c>
      <c r="I7" s="10">
        <f>SUMIFS(Таблица1[Чистая стоимость],ФИО_менеджера,$A7,Наименование_Товара,I$3,Дата,"&gt;="&amp;Начало_периода,Дата,"&lt;="&amp;Конец_периода)</f>
        <v>0</v>
      </c>
      <c r="J7" s="87">
        <f t="shared" si="0"/>
        <v>18600</v>
      </c>
    </row>
    <row r="8" spans="1:10" x14ac:dyDescent="0.25">
      <c r="A8" s="86" t="s">
        <v>20</v>
      </c>
      <c r="B8" s="10">
        <f>SUMIFS(Таблица1[Чистая стоимость],ФИО_менеджера,$A8,Наименование_Товара,B$3,Дата,"&gt;="&amp;Начало_периода,Дата,"&lt;="&amp;Конец_периода)</f>
        <v>0</v>
      </c>
      <c r="C8" s="10">
        <f>SUMIFS(Таблица1[Чистая стоимость],ФИО_менеджера,$A8,Наименование_Товара,C$3,Дата,"&gt;="&amp;Начало_периода,Дата,"&lt;="&amp;Конец_периода)</f>
        <v>0</v>
      </c>
      <c r="D8" s="10">
        <f>SUMIFS(Таблица1[Чистая стоимость],ФИО_менеджера,$A8,Наименование_Товара,D$3,Дата,"&gt;="&amp;Начало_периода,Дата,"&lt;="&amp;Конец_периода)</f>
        <v>0</v>
      </c>
      <c r="E8" s="10">
        <f>SUMIFS(Таблица1[Чистая стоимость],ФИО_менеджера,$A8,Наименование_Товара,E$3,Дата,"&gt;="&amp;Начало_периода,Дата,"&lt;="&amp;Конец_периода)</f>
        <v>7560</v>
      </c>
      <c r="F8" s="10">
        <f>SUMIFS(Таблица1[Чистая стоимость],ФИО_менеджера,$A8,Наименование_Товара,F$3,Дата,"&gt;="&amp;Начало_периода,Дата,"&lt;="&amp;Конец_периода)</f>
        <v>0</v>
      </c>
      <c r="G8" s="10">
        <f>SUMIFS(Таблица1[Чистая стоимость],ФИО_менеджера,$A8,Наименование_Товара,G$3,Дата,"&gt;="&amp;Начало_периода,Дата,"&lt;="&amp;Конец_периода)</f>
        <v>14442</v>
      </c>
      <c r="H8" s="10">
        <f>SUMIFS(Таблица1[Чистая стоимость],ФИО_менеджера,$A8,Наименование_Товара,H$3,Дата,"&gt;="&amp;Начало_периода,Дата,"&lt;="&amp;Конец_периода)</f>
        <v>19800</v>
      </c>
      <c r="I8" s="10">
        <f>SUMIFS(Таблица1[Чистая стоимость],ФИО_менеджера,$A8,Наименование_Товара,I$3,Дата,"&gt;="&amp;Начало_периода,Дата,"&lt;="&amp;Конец_периода)</f>
        <v>0</v>
      </c>
      <c r="J8" s="87">
        <f t="shared" si="0"/>
        <v>41802</v>
      </c>
    </row>
    <row r="9" spans="1:10" ht="15.75" thickBot="1" x14ac:dyDescent="0.3">
      <c r="A9" s="69" t="s">
        <v>64</v>
      </c>
      <c r="B9" s="88">
        <f>SUM(B4:B8)</f>
        <v>4000</v>
      </c>
      <c r="C9" s="88">
        <f>SUM(C4:C8)</f>
        <v>9248</v>
      </c>
      <c r="D9" s="88">
        <f t="shared" ref="D9:I9" si="1">SUM(D4:D8)</f>
        <v>7920</v>
      </c>
      <c r="E9" s="88">
        <f t="shared" si="1"/>
        <v>12960</v>
      </c>
      <c r="F9" s="88">
        <f t="shared" si="1"/>
        <v>0</v>
      </c>
      <c r="G9" s="88">
        <f t="shared" si="1"/>
        <v>33582</v>
      </c>
      <c r="H9" s="88">
        <f t="shared" si="1"/>
        <v>53900</v>
      </c>
      <c r="I9" s="88">
        <f t="shared" si="1"/>
        <v>0</v>
      </c>
      <c r="J9" s="89">
        <f>SUM(B9:I9)</f>
        <v>121610</v>
      </c>
    </row>
    <row r="10" spans="1:10" ht="15.75" thickBot="1" x14ac:dyDescent="0.3"/>
    <row r="11" spans="1:10" x14ac:dyDescent="0.25">
      <c r="A11" s="83" t="s">
        <v>65</v>
      </c>
      <c r="B11" s="84" t="s">
        <v>7</v>
      </c>
      <c r="C11" s="84" t="s">
        <v>9</v>
      </c>
      <c r="D11" s="84" t="s">
        <v>10</v>
      </c>
      <c r="E11" s="84" t="s">
        <v>26</v>
      </c>
      <c r="F11" s="84" t="s">
        <v>27</v>
      </c>
      <c r="G11" s="84" t="s">
        <v>28</v>
      </c>
      <c r="H11" s="84" t="s">
        <v>61</v>
      </c>
      <c r="I11" s="85" t="s">
        <v>62</v>
      </c>
    </row>
    <row r="12" spans="1:10" x14ac:dyDescent="0.25">
      <c r="A12" s="86" t="s">
        <v>16</v>
      </c>
      <c r="B12" s="7">
        <f>SUMIFS(Таблица1[Чистое кол-во],ФИО_менеджера,$A12,Наименование_Товара,B$11,Дата,"&gt;="&amp;Начало_периода,Дата,"&lt;="&amp;Конец_периода)</f>
        <v>0</v>
      </c>
      <c r="C12" s="7">
        <f>SUMIFS(Таблица1[Чистое кол-во],ФИО_менеджера,$A12,Наименование_Товара,C$11,Дата,"&gt;="&amp;Начало_периода,Дата,"&lt;="&amp;Конец_периода)</f>
        <v>89</v>
      </c>
      <c r="D12" s="7">
        <f>SUMIFS(Таблица1[Чистое кол-во],ФИО_менеджера,$A12,Наименование_Товара,D$11,Дата,"&gt;="&amp;Начало_периода,Дата,"&lt;="&amp;Конец_периода)</f>
        <v>56</v>
      </c>
      <c r="E12" s="7">
        <f>SUMIFS(Таблица1[Чистое кол-во],ФИО_менеджера,$A12,Наименование_Товара,E$11,Дата,"&gt;="&amp;Начало_периода,Дата,"&lt;="&amp;Конец_периода)</f>
        <v>0</v>
      </c>
      <c r="F12" s="7">
        <f>SUMIFS(Таблица1[Чистое кол-во],ФИО_менеджера,$A12,Наименование_Товара,F$11,Дата,"&gt;="&amp;Начало_периода,Дата,"&lt;="&amp;Конец_периода)</f>
        <v>0</v>
      </c>
      <c r="G12" s="7">
        <f>SUMIFS(Таблица1[Чистое кол-во],ФИО_менеджера,$A12,Наименование_Товара,G$11,Дата,"&gt;="&amp;Начало_периода,Дата,"&lt;="&amp;Конец_периода)</f>
        <v>120</v>
      </c>
      <c r="H12" s="7">
        <f>SUMIFS(Таблица1[Чистое кол-во],ФИО_менеджера,$A12,Наименование_Товара,H$11,Дата,"&gt;="&amp;Начало_периода,Дата,"&lt;="&amp;Конец_периода)</f>
        <v>0</v>
      </c>
      <c r="I12" s="73">
        <f>SUMIFS(Таблица1[Чистое кол-во],ФИО_менеджера,$A12,Наименование_Товара,I$11,Дата,"&gt;="&amp;Начало_периода,Дата,"&lt;="&amp;Конец_периода)</f>
        <v>0</v>
      </c>
    </row>
    <row r="13" spans="1:10" x14ac:dyDescent="0.25">
      <c r="A13" s="86" t="s">
        <v>17</v>
      </c>
      <c r="B13" s="7">
        <f>SUMIFS(Таблица1[Чистое кол-во],ФИО_менеджера,$A13,Наименование_Товара,B$11,Дата,"&gt;="&amp;Начало_периода,Дата,"&lt;="&amp;Конец_периода)</f>
        <v>0</v>
      </c>
      <c r="C13" s="7">
        <f>SUMIFS(Таблица1[Чистое кол-во],ФИО_менеджера,$A13,Наименование_Товара,C$11,Дата,"&gt;="&amp;Начало_периода,Дата,"&lt;="&amp;Конец_периода)</f>
        <v>130</v>
      </c>
      <c r="D13" s="7">
        <f>SUMIFS(Таблица1[Чистое кол-во],ФИО_менеджера,$A13,Наименование_Товара,D$11,Дата,"&gt;="&amp;Начало_периода,Дата,"&lt;="&amp;Конец_периода)</f>
        <v>0</v>
      </c>
      <c r="E13" s="7">
        <f>SUMIFS(Таблица1[Чистое кол-во],ФИО_менеджера,$A13,Наименование_Товара,E$11,Дата,"&gt;="&amp;Начало_периода,Дата,"&lt;="&amp;Конец_периода)</f>
        <v>100</v>
      </c>
      <c r="F13" s="7">
        <f>SUMIFS(Таблица1[Чистое кол-во],ФИО_менеджера,$A13,Наименование_Товара,F$11,Дата,"&gt;="&amp;Начало_периода,Дата,"&lt;="&amp;Конец_периода)</f>
        <v>0</v>
      </c>
      <c r="G13" s="7">
        <f>SUMIFS(Таблица1[Чистое кол-во],ФИО_менеджера,$A13,Наименование_Товара,G$11,Дата,"&gt;="&amp;Начало_периода,Дата,"&lt;="&amp;Конец_периода)</f>
        <v>0</v>
      </c>
      <c r="H13" s="7">
        <f>SUMIFS(Таблица1[Чистое кол-во],ФИО_менеджера,$A13,Наименование_Товара,H$11,Дата,"&gt;="&amp;Начало_периода,Дата,"&lt;="&amp;Конец_периода)</f>
        <v>190</v>
      </c>
      <c r="I13" s="73">
        <f>SUMIFS(Таблица1[Чистое кол-во],ФИО_менеджера,$A13,Наименование_Товара,I$11,Дата,"&gt;="&amp;Начало_периода,Дата,"&lt;="&amp;Конец_периода)</f>
        <v>0</v>
      </c>
    </row>
    <row r="14" spans="1:10" x14ac:dyDescent="0.25">
      <c r="A14" s="86" t="s">
        <v>18</v>
      </c>
      <c r="B14" s="7">
        <f>SUMIFS(Таблица1[Чистое кол-во],ФИО_менеджера,$A14,Наименование_Товара,B$11,Дата,"&gt;="&amp;Начало_периода,Дата,"&lt;="&amp;Конец_периода)</f>
        <v>160</v>
      </c>
      <c r="C14" s="7">
        <f>SUMIFS(Таблица1[Чистое кол-во],ФИО_менеджера,$A14,Наименование_Товара,C$11,Дата,"&gt;="&amp;Начало_периода,Дата,"&lt;="&amp;Конец_периода)</f>
        <v>70</v>
      </c>
      <c r="D14" s="7">
        <f>SUMIFS(Таблица1[Чистое кол-во],ФИО_менеджера,$A14,Наименование_Товара,D$11,Дата,"&gt;="&amp;Начало_периода,Дата,"&lt;="&amp;Конец_периода)</f>
        <v>0</v>
      </c>
      <c r="E14" s="7">
        <f>SUMIFS(Таблица1[Чистое кол-во],ФИО_менеджера,$A14,Наименование_Товара,E$11,Дата,"&gt;="&amp;Начало_периода,Дата,"&lt;="&amp;Конец_периода)</f>
        <v>0</v>
      </c>
      <c r="F14" s="7">
        <f>SUMIFS(Таблица1[Чистое кол-во],ФИО_менеджера,$A14,Наименование_Товара,F$11,Дата,"&gt;="&amp;Начало_периода,Дата,"&lt;="&amp;Конец_периода)</f>
        <v>0</v>
      </c>
      <c r="G14" s="7">
        <f>SUMIFS(Таблица1[Чистое кол-во],ФИО_менеджера,$A14,Наименование_Товара,G$11,Дата,"&gt;="&amp;Начало_периода,Дата,"&lt;="&amp;Конец_периода)</f>
        <v>100</v>
      </c>
      <c r="H14" s="7">
        <f>SUMIFS(Таблица1[Чистое кол-во],ФИО_менеджера,$A14,Наименование_Товара,H$11,Дата,"&gt;="&amp;Начало_периода,Дата,"&lt;="&amp;Конец_периода)</f>
        <v>0</v>
      </c>
      <c r="I14" s="73">
        <f>SUMIFS(Таблица1[Чистое кол-во],ФИО_менеджера,$A14,Наименование_Товара,I$11,Дата,"&gt;="&amp;Начало_периода,Дата,"&lt;="&amp;Конец_периода)</f>
        <v>0</v>
      </c>
    </row>
    <row r="15" spans="1:10" x14ac:dyDescent="0.25">
      <c r="A15" s="86" t="s">
        <v>19</v>
      </c>
      <c r="B15" s="7">
        <f>SUMIFS(Таблица1[Чистое кол-во],ФИО_менеджера,$A15,Наименование_Товара,B$11,Дата,"&gt;="&amp;Начало_периода,Дата,"&lt;="&amp;Конец_периода)</f>
        <v>0</v>
      </c>
      <c r="C15" s="7">
        <f>SUMIFS(Таблица1[Чистое кол-во],ФИО_менеджера,$A15,Наименование_Товара,C$11,Дата,"&gt;="&amp;Начало_периода,Дата,"&lt;="&amp;Конец_периода)</f>
        <v>0</v>
      </c>
      <c r="D15" s="7">
        <f>SUMIFS(Таблица1[Чистое кол-во],ФИО_менеджера,$A15,Наименование_Товара,D$11,Дата,"&gt;="&amp;Начало_периода,Дата,"&lt;="&amp;Конец_периода)</f>
        <v>120</v>
      </c>
      <c r="E15" s="7">
        <f>SUMIFS(Таблица1[Чистое кол-во],ФИО_менеджера,$A15,Наименование_Товара,E$11,Дата,"&gt;="&amp;Начало_периода,Дата,"&lt;="&amp;Конец_периода)</f>
        <v>0</v>
      </c>
      <c r="F15" s="7">
        <f>SUMIFS(Таблица1[Чистое кол-во],ФИО_менеджера,$A15,Наименование_Товара,F$11,Дата,"&gt;="&amp;Начало_периода,Дата,"&lt;="&amp;Конец_периода)</f>
        <v>0</v>
      </c>
      <c r="G15" s="7">
        <f>SUMIFS(Таблица1[Чистое кол-во],ФИО_менеджера,$A15,Наименование_Товара,G$11,Дата,"&gt;="&amp;Начало_периода,Дата,"&lt;="&amp;Конец_периода)</f>
        <v>0</v>
      </c>
      <c r="H15" s="7">
        <f>SUMIFS(Таблица1[Чистое кол-во],ФИО_менеджера,$A15,Наименование_Товара,H$11,Дата,"&gt;="&amp;Начало_периода,Дата,"&lt;="&amp;Конец_периода)</f>
        <v>120</v>
      </c>
      <c r="I15" s="73">
        <f>SUMIFS(Таблица1[Чистое кол-во],ФИО_менеджера,$A15,Наименование_Товара,I$11,Дата,"&gt;="&amp;Начало_периода,Дата,"&lt;="&amp;Конец_периода)</f>
        <v>0</v>
      </c>
    </row>
    <row r="16" spans="1:10" x14ac:dyDescent="0.25">
      <c r="A16" s="86" t="s">
        <v>20</v>
      </c>
      <c r="B16" s="7">
        <f>SUMIFS(Таблица1[Чистое кол-во],ФИО_менеджера,$A16,Наименование_Товара,B$11,Дата,"&gt;="&amp;Начало_периода,Дата,"&lt;="&amp;Конец_периода)</f>
        <v>0</v>
      </c>
      <c r="C16" s="7">
        <f>SUMIFS(Таблица1[Чистое кол-во],ФИО_менеджера,$A16,Наименование_Товара,C$11,Дата,"&gt;="&amp;Начало_периода,Дата,"&lt;="&amp;Конец_периода)</f>
        <v>0</v>
      </c>
      <c r="D16" s="7">
        <f>SUMIFS(Таблица1[Чистое кол-во],ФИО_менеджера,$A16,Наименование_Товара,D$11,Дата,"&gt;="&amp;Начало_периода,Дата,"&lt;="&amp;Конец_периода)</f>
        <v>0</v>
      </c>
      <c r="E16" s="7">
        <f>SUMIFS(Таблица1[Чистое кол-во],ФИО_менеджера,$A16,Наименование_Товара,E$11,Дата,"&gt;="&amp;Начало_периода,Дата,"&lt;="&amp;Конец_периода)</f>
        <v>140</v>
      </c>
      <c r="F16" s="7">
        <f>SUMIFS(Таблица1[Чистое кол-во],ФИО_менеджера,$A16,Наименование_Товара,F$11,Дата,"&gt;="&amp;Начало_периода,Дата,"&lt;="&amp;Конец_периода)</f>
        <v>0</v>
      </c>
      <c r="G16" s="7">
        <f>SUMIFS(Таблица1[Чистое кол-во],ФИО_менеджера,$A16,Наименование_Товара,G$11,Дата,"&gt;="&amp;Начало_периода,Дата,"&lt;="&amp;Конец_периода)</f>
        <v>166</v>
      </c>
      <c r="H16" s="7">
        <f>SUMIFS(Таблица1[Чистое кол-во],ФИО_менеджера,$A16,Наименование_Товара,H$11,Дата,"&gt;="&amp;Начало_периода,Дата,"&lt;="&amp;Конец_периода)</f>
        <v>180</v>
      </c>
      <c r="I16" s="73">
        <f>SUMIFS(Таблица1[Чистое кол-во],ФИО_менеджера,$A16,Наименование_Товара,I$11,Дата,"&gt;="&amp;Начало_периода,Дата,"&lt;="&amp;Конец_периода)</f>
        <v>0</v>
      </c>
    </row>
    <row r="17" spans="1:11" x14ac:dyDescent="0.25">
      <c r="A17" s="90" t="s">
        <v>66</v>
      </c>
      <c r="B17" s="7">
        <f t="shared" ref="B17:I17" si="2">SUMIFS(Количество,Наименование_Товара,B$11,Дата,"&gt;="&amp;Начало_периода,Дата,"&lt;="&amp;Конец_периода)</f>
        <v>160</v>
      </c>
      <c r="C17" s="7">
        <f t="shared" si="2"/>
        <v>299</v>
      </c>
      <c r="D17" s="7">
        <f t="shared" si="2"/>
        <v>176</v>
      </c>
      <c r="E17" s="7">
        <f t="shared" si="2"/>
        <v>290</v>
      </c>
      <c r="F17" s="7">
        <f t="shared" si="2"/>
        <v>0</v>
      </c>
      <c r="G17" s="7">
        <f t="shared" si="2"/>
        <v>446</v>
      </c>
      <c r="H17" s="7">
        <f t="shared" si="2"/>
        <v>560</v>
      </c>
      <c r="I17" s="73">
        <f t="shared" si="2"/>
        <v>0</v>
      </c>
    </row>
    <row r="18" spans="1:11" ht="15.75" thickBot="1" x14ac:dyDescent="0.3">
      <c r="A18" s="91" t="s">
        <v>67</v>
      </c>
      <c r="B18" s="29">
        <f t="shared" ref="B18:I18" si="3">SUMIFS(Количество_к_возврату,Наименование_Товара,B$11,Дата,"&gt;="&amp;Начало_периода,Дата,"&lt;="&amp;Конец_периода)</f>
        <v>0</v>
      </c>
      <c r="C18" s="29">
        <f t="shared" si="3"/>
        <v>10</v>
      </c>
      <c r="D18" s="29">
        <f t="shared" si="3"/>
        <v>0</v>
      </c>
      <c r="E18" s="29">
        <f t="shared" si="3"/>
        <v>50</v>
      </c>
      <c r="F18" s="29">
        <f t="shared" si="3"/>
        <v>0</v>
      </c>
      <c r="G18" s="29">
        <f t="shared" si="3"/>
        <v>60</v>
      </c>
      <c r="H18" s="29">
        <f t="shared" si="3"/>
        <v>70</v>
      </c>
      <c r="I18" s="92">
        <f t="shared" si="3"/>
        <v>0</v>
      </c>
    </row>
    <row r="19" spans="1:11" ht="15.75" thickBot="1" x14ac:dyDescent="0.3"/>
    <row r="20" spans="1:11" x14ac:dyDescent="0.25">
      <c r="A20" s="93" t="s">
        <v>68</v>
      </c>
      <c r="B20" s="84" t="s">
        <v>7</v>
      </c>
      <c r="C20" s="84" t="s">
        <v>9</v>
      </c>
      <c r="D20" s="84" t="s">
        <v>10</v>
      </c>
      <c r="E20" s="84" t="s">
        <v>26</v>
      </c>
      <c r="F20" s="84" t="s">
        <v>27</v>
      </c>
      <c r="G20" s="84" t="s">
        <v>28</v>
      </c>
      <c r="H20" s="84" t="s">
        <v>61</v>
      </c>
      <c r="I20" s="84" t="s">
        <v>62</v>
      </c>
      <c r="J20" s="85" t="s">
        <v>63</v>
      </c>
    </row>
    <row r="21" spans="1:11" x14ac:dyDescent="0.25">
      <c r="A21" s="86" t="s">
        <v>16</v>
      </c>
      <c r="B21" s="13">
        <f t="shared" ref="B21:I25" si="4">COUNTIFS(ФИО_менеджера,$A21,Наименование_Товара,B$20,Дата,"&gt;="&amp;Начало_периода,Дата,"&lt;="&amp;Конец_периода)</f>
        <v>0</v>
      </c>
      <c r="C21" s="13">
        <f t="shared" si="4"/>
        <v>1</v>
      </c>
      <c r="D21" s="13">
        <f t="shared" si="4"/>
        <v>1</v>
      </c>
      <c r="E21" s="13">
        <f t="shared" si="4"/>
        <v>0</v>
      </c>
      <c r="F21" s="13">
        <f t="shared" si="4"/>
        <v>0</v>
      </c>
      <c r="G21" s="13">
        <f t="shared" si="4"/>
        <v>1</v>
      </c>
      <c r="H21" s="13">
        <f t="shared" si="4"/>
        <v>0</v>
      </c>
      <c r="I21" s="13">
        <f t="shared" si="4"/>
        <v>0</v>
      </c>
      <c r="J21" s="94">
        <f>SUM(B21:I21)</f>
        <v>3</v>
      </c>
      <c r="K21" s="14"/>
    </row>
    <row r="22" spans="1:11" x14ac:dyDescent="0.25">
      <c r="A22" s="86" t="s">
        <v>17</v>
      </c>
      <c r="B22" s="13">
        <f t="shared" si="4"/>
        <v>0</v>
      </c>
      <c r="C22" s="13">
        <f t="shared" si="4"/>
        <v>2</v>
      </c>
      <c r="D22" s="13">
        <f t="shared" si="4"/>
        <v>0</v>
      </c>
      <c r="E22" s="13">
        <f t="shared" si="4"/>
        <v>1</v>
      </c>
      <c r="F22" s="13">
        <f t="shared" si="4"/>
        <v>0</v>
      </c>
      <c r="G22" s="13">
        <f t="shared" si="4"/>
        <v>0</v>
      </c>
      <c r="H22" s="13">
        <f t="shared" si="4"/>
        <v>1</v>
      </c>
      <c r="I22" s="13">
        <f t="shared" si="4"/>
        <v>0</v>
      </c>
      <c r="J22" s="94">
        <f t="shared" ref="J22:J24" si="5">SUM(B22:I22)</f>
        <v>4</v>
      </c>
      <c r="K22" s="14"/>
    </row>
    <row r="23" spans="1:11" x14ac:dyDescent="0.25">
      <c r="A23" s="86" t="s">
        <v>18</v>
      </c>
      <c r="B23" s="13">
        <f t="shared" si="4"/>
        <v>1</v>
      </c>
      <c r="C23" s="13">
        <f t="shared" si="4"/>
        <v>1</v>
      </c>
      <c r="D23" s="13">
        <f t="shared" si="4"/>
        <v>0</v>
      </c>
      <c r="E23" s="13">
        <f t="shared" si="4"/>
        <v>0</v>
      </c>
      <c r="F23" s="13">
        <f t="shared" si="4"/>
        <v>0</v>
      </c>
      <c r="G23" s="13">
        <f t="shared" si="4"/>
        <v>1</v>
      </c>
      <c r="H23" s="13">
        <f t="shared" si="4"/>
        <v>0</v>
      </c>
      <c r="I23" s="13">
        <f t="shared" si="4"/>
        <v>0</v>
      </c>
      <c r="J23" s="94">
        <f t="shared" si="5"/>
        <v>3</v>
      </c>
      <c r="K23" s="14"/>
    </row>
    <row r="24" spans="1:11" x14ac:dyDescent="0.25">
      <c r="A24" s="86" t="s">
        <v>19</v>
      </c>
      <c r="B24" s="13">
        <f t="shared" si="4"/>
        <v>0</v>
      </c>
      <c r="C24" s="13">
        <f t="shared" si="4"/>
        <v>0</v>
      </c>
      <c r="D24" s="13">
        <f t="shared" si="4"/>
        <v>1</v>
      </c>
      <c r="E24" s="13">
        <f t="shared" si="4"/>
        <v>0</v>
      </c>
      <c r="F24" s="13">
        <f t="shared" si="4"/>
        <v>0</v>
      </c>
      <c r="G24" s="13">
        <f t="shared" si="4"/>
        <v>0</v>
      </c>
      <c r="H24" s="13">
        <f t="shared" si="4"/>
        <v>1</v>
      </c>
      <c r="I24" s="13">
        <f t="shared" si="4"/>
        <v>0</v>
      </c>
      <c r="J24" s="94">
        <f t="shared" si="5"/>
        <v>2</v>
      </c>
      <c r="K24" s="14"/>
    </row>
    <row r="25" spans="1:11" x14ac:dyDescent="0.25">
      <c r="A25" s="86" t="s">
        <v>20</v>
      </c>
      <c r="B25" s="13">
        <f t="shared" si="4"/>
        <v>0</v>
      </c>
      <c r="C25" s="13">
        <f t="shared" si="4"/>
        <v>0</v>
      </c>
      <c r="D25" s="13">
        <f t="shared" si="4"/>
        <v>0</v>
      </c>
      <c r="E25" s="13">
        <f t="shared" si="4"/>
        <v>1</v>
      </c>
      <c r="F25" s="13">
        <f t="shared" si="4"/>
        <v>0</v>
      </c>
      <c r="G25" s="13">
        <f t="shared" si="4"/>
        <v>1</v>
      </c>
      <c r="H25" s="13">
        <f t="shared" si="4"/>
        <v>1</v>
      </c>
      <c r="I25" s="13">
        <f t="shared" si="4"/>
        <v>0</v>
      </c>
      <c r="J25" s="94">
        <f>SUM(B25:I25)</f>
        <v>3</v>
      </c>
      <c r="K25" s="14"/>
    </row>
    <row r="26" spans="1:11" ht="15.75" thickBot="1" x14ac:dyDescent="0.3">
      <c r="A26" s="69" t="s">
        <v>64</v>
      </c>
      <c r="B26" s="95">
        <f t="shared" ref="B26:I26" si="6">SUM(B21:B25)</f>
        <v>1</v>
      </c>
      <c r="C26" s="95">
        <f>SUM(C21:C25)</f>
        <v>4</v>
      </c>
      <c r="D26" s="95">
        <f t="shared" si="6"/>
        <v>2</v>
      </c>
      <c r="E26" s="95">
        <f t="shared" si="6"/>
        <v>2</v>
      </c>
      <c r="F26" s="95">
        <f t="shared" si="6"/>
        <v>0</v>
      </c>
      <c r="G26" s="95">
        <f t="shared" si="6"/>
        <v>3</v>
      </c>
      <c r="H26" s="95">
        <f t="shared" si="6"/>
        <v>3</v>
      </c>
      <c r="I26" s="95">
        <f t="shared" si="6"/>
        <v>0</v>
      </c>
      <c r="J26" s="96"/>
      <c r="K26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2"/>
  <sheetViews>
    <sheetView showGridLines="0" workbookViewId="0">
      <selection activeCell="B8" sqref="B8"/>
    </sheetView>
  </sheetViews>
  <sheetFormatPr defaultColWidth="9.140625" defaultRowHeight="15" x14ac:dyDescent="0.25"/>
  <cols>
    <col min="1" max="2" width="27.5703125" style="18" bestFit="1" customWidth="1"/>
    <col min="3" max="3" width="26.85546875" style="18" bestFit="1" customWidth="1"/>
    <col min="4" max="4" width="27.5703125" style="18" bestFit="1" customWidth="1"/>
    <col min="5" max="5" width="40.140625" style="18" bestFit="1" customWidth="1"/>
    <col min="6" max="6" width="9.140625" style="18"/>
    <col min="7" max="7" width="18.85546875" style="18" customWidth="1"/>
    <col min="8" max="16384" width="9.140625" style="18"/>
  </cols>
  <sheetData>
    <row r="1" spans="1:9" ht="15.75" thickBot="1" x14ac:dyDescent="0.3">
      <c r="A1" s="161" t="s">
        <v>73</v>
      </c>
      <c r="B1" s="163"/>
    </row>
    <row r="2" spans="1:9" ht="15.75" thickBot="1" x14ac:dyDescent="0.3"/>
    <row r="3" spans="1:9" x14ac:dyDescent="0.25">
      <c r="A3" s="102" t="s">
        <v>74</v>
      </c>
      <c r="D3" s="102" t="s">
        <v>75</v>
      </c>
    </row>
    <row r="4" spans="1:9" ht="15.75" thickBot="1" x14ac:dyDescent="0.3">
      <c r="A4" s="103" t="s">
        <v>27</v>
      </c>
      <c r="D4" s="103" t="s">
        <v>16</v>
      </c>
      <c r="G4" s="20"/>
    </row>
    <row r="5" spans="1:9" ht="15.75" thickBot="1" x14ac:dyDescent="0.3"/>
    <row r="6" spans="1:9" ht="17.25" customHeight="1" x14ac:dyDescent="0.25">
      <c r="A6" s="83" t="s">
        <v>76</v>
      </c>
      <c r="B6" s="98"/>
      <c r="D6" s="114" t="s">
        <v>79</v>
      </c>
      <c r="E6" s="115" t="s">
        <v>96</v>
      </c>
      <c r="I6" s="5"/>
    </row>
    <row r="7" spans="1:9" x14ac:dyDescent="0.25">
      <c r="A7" s="90" t="s">
        <v>77</v>
      </c>
      <c r="B7" s="99" t="s">
        <v>78</v>
      </c>
      <c r="D7" s="86" t="s">
        <v>7</v>
      </c>
      <c r="E7" s="109">
        <f>VLOOKUP('Отчёт 2'!D$4,'Отчёт 1'!A$20:J$26,MATCH(D7,'Отчёт 1'!B$3:I$3,0)+1,FALSE)/VLOOKUP('Отчёт 1'!A$26,'Отчёт 1'!A$20:J$26,MATCH(D7,'Отчёт 1'!B$3:I$3,0)+1,FALSE)</f>
        <v>0</v>
      </c>
    </row>
    <row r="8" spans="1:9" x14ac:dyDescent="0.25">
      <c r="A8" s="86" t="s">
        <v>16</v>
      </c>
      <c r="B8" s="100" t="e">
        <f>VLOOKUP(A8,'Отчёт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#DIV/0!</v>
      </c>
      <c r="D8" s="86" t="s">
        <v>9</v>
      </c>
      <c r="E8" s="109">
        <f>VLOOKUP('Отчёт 2'!D$4,'Отчёт 1'!A$20:J$26,MATCH(D8,'Отчёт 1'!B$3:I$3,0)+1,FALSE)/VLOOKUP('Отчёт 1'!A$26,'Отчёт 1'!A$20:J$26,MATCH(D8,'Отчёт 1'!B$3:I$3,0)+1,FALSE)</f>
        <v>0.25</v>
      </c>
    </row>
    <row r="9" spans="1:9" x14ac:dyDescent="0.25">
      <c r="A9" s="86" t="s">
        <v>17</v>
      </c>
      <c r="B9" s="100" t="e">
        <f>VLOOKUP(A9,'Отчёт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#DIV/0!</v>
      </c>
      <c r="D9" s="86" t="s">
        <v>10</v>
      </c>
      <c r="E9" s="109">
        <f>VLOOKUP('Отчёт 2'!D$4,'Отчёт 1'!A$20:J$26,MATCH(D9,'Отчёт 1'!B$3:I$3,0)+1,FALSE)/VLOOKUP('Отчёт 1'!A$26,'Отчёт 1'!A$20:J$26,MATCH(D9,'Отчёт 1'!B$3:I$3,0)+1,FALSE)</f>
        <v>0.5</v>
      </c>
    </row>
    <row r="10" spans="1:9" x14ac:dyDescent="0.25">
      <c r="A10" s="86" t="s">
        <v>18</v>
      </c>
      <c r="B10" s="100" t="e">
        <f>VLOOKUP(A10,'Отчёт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#DIV/0!</v>
      </c>
      <c r="D10" s="86" t="s">
        <v>26</v>
      </c>
      <c r="E10" s="109">
        <f>VLOOKUP('Отчёт 2'!D$4,'Отчёт 1'!A$20:J$26,MATCH(D10,'Отчёт 1'!B$3:I$3,0)+1,FALSE)/VLOOKUP('Отчёт 1'!A$26,'Отчёт 1'!A$20:J$26,MATCH(D10,'Отчёт 1'!B$3:I$3,0)+1,FALSE)</f>
        <v>0</v>
      </c>
    </row>
    <row r="11" spans="1:9" x14ac:dyDescent="0.25">
      <c r="A11" s="86" t="s">
        <v>19</v>
      </c>
      <c r="B11" s="100" t="e">
        <f>VLOOKUP(A11,'Отчёт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#DIV/0!</v>
      </c>
      <c r="D11" s="86" t="s">
        <v>27</v>
      </c>
      <c r="E11" s="109" t="e">
        <f>VLOOKUP('Отчёт 2'!D$4,'Отчёт 1'!A$20:J$26,MATCH(D11,'Отчёт 1'!B$3:I$3,0)+1,FALSE)/VLOOKUP('Отчёт 1'!A$26,'Отчёт 1'!A$20:J$26,MATCH(D11,'Отчёт 1'!B$3:I$3,0)+1,FALSE)</f>
        <v>#DIV/0!</v>
      </c>
    </row>
    <row r="12" spans="1:9" ht="15.75" thickBot="1" x14ac:dyDescent="0.3">
      <c r="A12" s="69" t="s">
        <v>20</v>
      </c>
      <c r="B12" s="101" t="e">
        <f>VLOOKUP(A12,'Отчёт 1'!A$11:I$18,MATCH('Отчёт 2'!A$4,'Отчёт 1'!B$3:I$3,0)+1,FALSE)/(VLOOKUP('Отчёт 1'!A$17,'Отчёт 1'!A$11:I$18,MATCH('Отчёт 2'!A$4,'Отчёт 1'!B$3:I$3,0)+1,FALSE)-VLOOKUP('Отчёт 1'!A$18,'Отчёт 1'!A$11:I$18,MATCH('Отчёт 2'!A$4,'Отчёт 1'!B$3:I$3,0)+1,FALSE))</f>
        <v>#DIV/0!</v>
      </c>
      <c r="C12" s="21"/>
      <c r="D12" s="86" t="s">
        <v>28</v>
      </c>
      <c r="E12" s="109">
        <f>VLOOKUP('Отчёт 2'!D$4,'Отчёт 1'!A$20:J$26,MATCH(D12,'Отчёт 1'!B$3:I$3,0)+1,FALSE)/VLOOKUP('Отчёт 1'!A$26,'Отчёт 1'!A$20:J$26,MATCH(D12,'Отчёт 1'!B$3:I$3,0)+1,FALSE)</f>
        <v>0.33333333333333331</v>
      </c>
    </row>
    <row r="13" spans="1:9" x14ac:dyDescent="0.25">
      <c r="A13" s="6"/>
      <c r="B13" s="21"/>
      <c r="C13" s="21"/>
      <c r="D13" s="86" t="s">
        <v>61</v>
      </c>
      <c r="E13" s="109">
        <f>VLOOKUP('Отчёт 2'!D$4,'Отчёт 1'!A$20:J$26,MATCH(D13,'Отчёт 1'!B$3:I$3,0)+1,FALSE)/VLOOKUP('Отчёт 1'!A$26,'Отчёт 1'!A$20:J$26,MATCH(D13,'Отчёт 1'!B$3:I$3,0)+1,FALSE)</f>
        <v>0</v>
      </c>
    </row>
    <row r="14" spans="1:9" ht="15.75" thickBot="1" x14ac:dyDescent="0.3">
      <c r="D14" s="69" t="s">
        <v>62</v>
      </c>
      <c r="E14" s="113" t="e">
        <f>VLOOKUP('Отчёт 2'!D$4,'Отчёт 1'!A$20:J$26,MATCH(D14,'Отчёт 1'!B$3:I$3,0)+1,FALSE)/VLOOKUP('Отчёт 1'!A$26,'Отчёт 1'!A$20:J$26,MATCH(D14,'Отчёт 1'!B$3:I$3,0)+1,FALSE)</f>
        <v>#DIV/0!</v>
      </c>
    </row>
    <row r="16" spans="1:9" ht="15.75" thickBot="1" x14ac:dyDescent="0.3"/>
    <row r="17" spans="1:4" x14ac:dyDescent="0.25">
      <c r="A17" s="104" t="s">
        <v>80</v>
      </c>
      <c r="B17" s="105">
        <f>Начало_периода</f>
        <v>42795</v>
      </c>
      <c r="C17" s="106" t="s">
        <v>81</v>
      </c>
      <c r="D17" s="107">
        <f>Конец_периода</f>
        <v>42825</v>
      </c>
    </row>
    <row r="18" spans="1:4" x14ac:dyDescent="0.25">
      <c r="A18" s="90" t="s">
        <v>82</v>
      </c>
      <c r="B18" s="11" t="s">
        <v>83</v>
      </c>
      <c r="C18" s="11" t="s">
        <v>84</v>
      </c>
      <c r="D18" s="108" t="s">
        <v>85</v>
      </c>
    </row>
    <row r="19" spans="1:4" x14ac:dyDescent="0.25">
      <c r="A19" s="90" t="s">
        <v>86</v>
      </c>
      <c r="B19" s="24" t="str" cm="1">
        <f t="array" ref="B19">INDEX('Отчёт 1'!B3:I3,,MATCH(MAX('Отчёт 1'!B9:I9),'Отчёт 1'!B9:I9,0))</f>
        <v>Полярный</v>
      </c>
      <c r="C19" s="24" t="str" cm="1">
        <f t="array" ref="C19">INDEX('Отчёт 1'!B3:I3,,MATCH(MAX('Отчёт 1'!B17:I17),'Отчёт 1'!B17:I17,0))</f>
        <v>Полярный</v>
      </c>
      <c r="D19" s="109" t="str" cm="1">
        <f t="array" ref="D19">INDEX('Отчёт 1'!B3:I3,,MATCH(MAX('Отчёт 1'!B26:I26),'Отчёт 1'!B26:I26,0))</f>
        <v>Печенье Вкусное</v>
      </c>
    </row>
    <row r="20" spans="1:4" x14ac:dyDescent="0.25">
      <c r="A20" s="110" t="s">
        <v>87</v>
      </c>
      <c r="B20" s="24" t="str">
        <f>INDEX('Отчёт 1'!A4:A8,MATCH(MAX('Отчёт 1'!J4:J8),'Отчёт 1'!J4:J8,0))</f>
        <v>Ракушко Игорь Харитонович</v>
      </c>
      <c r="C20" s="24" t="str">
        <f>INDEX('Отчёт 1'!A4:A8,MATCH(MAX('Отчёт 1'!J21:J25),'Отчёт 1'!J21:J25,0))</f>
        <v>Григорьев Сергей Петрович</v>
      </c>
      <c r="D20" s="109" t="str">
        <f>INDEX('Отчёт 1'!A4:A8,MATCH(MAX('Отчёт 1'!J21:J25),'Отчёт 1'!J21:J25,0))</f>
        <v>Григорьев Сергей Петрович</v>
      </c>
    </row>
    <row r="21" spans="1:4" x14ac:dyDescent="0.25">
      <c r="A21" s="111" t="s">
        <v>88</v>
      </c>
      <c r="B21" s="19" t="str" cm="1">
        <f t="array" ref="B21">INDEX('Отчёт 1'!B3:I3,,MATCH(MIN('Отчёт 1'!B9:I9),'Отчёт 1'!B9:I9,0))</f>
        <v>Нежные</v>
      </c>
      <c r="C21" s="19" t="str" cm="1">
        <f t="array" ref="C21">INDEX('Отчёт 1'!B3:I3,,MATCH(MIN('Отчёт 1'!B17:I17),'Отчёт 1'!B17:I17,0))</f>
        <v>Нежные</v>
      </c>
      <c r="D21" s="109" t="str" cm="1">
        <f t="array" ref="D21">INDEX('Отчёт 1'!B3:I3,,MATCH(MIN('Отчёт 1'!B26:I26),'Отчёт 1'!B26:I26,0))</f>
        <v>Нежные</v>
      </c>
    </row>
    <row r="22" spans="1:4" ht="15.75" thickBot="1" x14ac:dyDescent="0.3">
      <c r="A22" s="91" t="s">
        <v>89</v>
      </c>
      <c r="B22" s="112" t="str">
        <f>INDEX('Отчёт 1'!A4:A8,MATCH(MIN('Отчёт 1'!J4:J8),'Отчёт 1'!J4:J8,0))</f>
        <v>Поснова Ольга Евгеньевна</v>
      </c>
      <c r="C22" s="112" t="str">
        <f>INDEX('Отчёт 1'!A4:A8,MATCH(MIN('Отчёт 1'!J21:J25),'Отчёт 1'!J21:J25,0))</f>
        <v>Белова Анастасия Ивановна</v>
      </c>
      <c r="D22" s="113" t="str">
        <f>INDEX('Отчёт 1'!A4:A8,MATCH(MIN('Отчёт 1'!J21:J25),'Отчёт 1'!J21:J25,0))</f>
        <v>Белова Анастасия Ивановна</v>
      </c>
    </row>
  </sheetData>
  <mergeCells count="1">
    <mergeCell ref="A1:B1"/>
  </mergeCells>
  <dataValidations count="2">
    <dataValidation type="list" allowBlank="1" showInputMessage="1" showErrorMessage="1" sqref="G4 D4" xr:uid="{24CF534C-F9E1-C24C-80C1-9007C7E0E922}">
      <formula1>ФИО1</formula1>
    </dataValidation>
    <dataValidation type="list" allowBlank="1" showInputMessage="1" showErrorMessage="1" sqref="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20</vt:i4>
      </vt:variant>
    </vt:vector>
  </HeadingPairs>
  <TitlesOfParts>
    <vt:vector size="31" baseType="lpstr">
      <vt:lpstr>Результативность</vt:lpstr>
      <vt:lpstr>Наибольшее</vt:lpstr>
      <vt:lpstr>Продажи</vt:lpstr>
      <vt:lpstr>СУММЕСЛИ(-МН)</vt:lpstr>
      <vt:lpstr>Сводная</vt:lpstr>
      <vt:lpstr> Информация о клиентах</vt:lpstr>
      <vt:lpstr>Информация о товаарах</vt:lpstr>
      <vt:lpstr>Информация о менеджерах</vt:lpstr>
      <vt:lpstr>Премии</vt:lpstr>
      <vt:lpstr>Отчёт 1</vt:lpstr>
      <vt:lpstr>Отчёт 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Содиков Фарход Фирдавсович</dc:creator>
  <cp:lastModifiedBy>user</cp:lastModifiedBy>
  <dcterms:created xsi:type="dcterms:W3CDTF">2017-07-24T12:01:24Z</dcterms:created>
  <dcterms:modified xsi:type="dcterms:W3CDTF">2021-11-30T17:27:49Z</dcterms:modified>
</cp:coreProperties>
</file>