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DeLorean\Desktop\Universidad\Formulacion de proyecto\Text WordNet\Proyecto\Documentos\"/>
    </mc:Choice>
  </mc:AlternateContent>
  <xr:revisionPtr revIDLastSave="0" documentId="13_ncr:1_{67E6795F-9CEA-4BF4-8497-215FAEFB1CFF}" xr6:coauthVersionLast="47" xr6:coauthVersionMax="47" xr10:uidLastSave="{00000000-0000-0000-0000-000000000000}"/>
  <bookViews>
    <workbookView xWindow="-120" yWindow="-120" windowWidth="29040" windowHeight="15840" firstSheet="10" activeTab="15" xr2:uid="{CACF83AC-6E5C-40C4-8F87-33ECB008C08D}"/>
  </bookViews>
  <sheets>
    <sheet name="Entradas" sheetId="4" r:id="rId1"/>
    <sheet name="Original" sheetId="5" r:id="rId2"/>
    <sheet name="Datos" sheetId="3" r:id="rId3"/>
    <sheet name="test con el bot" sheetId="8" r:id="rId4"/>
    <sheet name="Diferencia entre calculos riego" sheetId="20" r:id="rId5"/>
    <sheet name="Diferencia entre calculos palto" sheetId="21" r:id="rId6"/>
    <sheet name="Hoja2" sheetId="25" r:id="rId7"/>
    <sheet name="Diferencia entre calculos horta" sheetId="23" r:id="rId8"/>
    <sheet name="Diferencia horta arenoso" sheetId="24" r:id="rId9"/>
    <sheet name="test evapotranspiracion semanal" sheetId="6" r:id="rId10"/>
    <sheet name="test evapotranspiracion diaria" sheetId="7" r:id="rId11"/>
    <sheet name="Illapel" sheetId="11" r:id="rId12"/>
    <sheet name="Coquimbo" sheetId="10" r:id="rId13"/>
    <sheet name="Ejemplo ajuste Coquimbo" sheetId="16" r:id="rId14"/>
    <sheet name="Paillaco" sheetId="14" r:id="rId15"/>
    <sheet name="Ejemplo ajuste paillaco" sheetId="15" r:id="rId16"/>
    <sheet name="Error RA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23" l="1"/>
  <c r="BH3" i="23" s="1"/>
  <c r="BG5" i="23"/>
  <c r="BG7" i="23"/>
  <c r="BG9" i="23"/>
  <c r="H3" i="23"/>
  <c r="A3" i="23" s="1"/>
  <c r="H4" i="23"/>
  <c r="A4" i="23" s="1"/>
  <c r="H5" i="23"/>
  <c r="A5" i="23" s="1"/>
  <c r="I5" i="23"/>
  <c r="H6" i="23"/>
  <c r="A6" i="23" s="1"/>
  <c r="B5" i="23" s="1"/>
  <c r="H7" i="23"/>
  <c r="A7" i="23" s="1"/>
  <c r="I7" i="23"/>
  <c r="H8" i="23"/>
  <c r="A8" i="23" s="1"/>
  <c r="H9" i="23"/>
  <c r="A9" i="23" s="1"/>
  <c r="I9" i="23"/>
  <c r="H10" i="23"/>
  <c r="A10" i="23" s="1"/>
  <c r="B9" i="23" s="1"/>
  <c r="I10" i="23"/>
  <c r="AE10" i="23" s="1"/>
  <c r="AN10" i="23" s="1"/>
  <c r="AQ9" i="23" s="1"/>
  <c r="P3" i="23"/>
  <c r="R3" i="23"/>
  <c r="S3" i="23" s="1"/>
  <c r="V3" i="23"/>
  <c r="W3" i="23"/>
  <c r="AA3" i="23"/>
  <c r="AC3" i="23" s="1"/>
  <c r="AG3" i="23"/>
  <c r="AI3" i="23" s="1"/>
  <c r="P4" i="23"/>
  <c r="R4" i="23"/>
  <c r="S4" i="23"/>
  <c r="V4" i="23"/>
  <c r="W4" i="23"/>
  <c r="AA4" i="23"/>
  <c r="AC4" i="23"/>
  <c r="AG4" i="23"/>
  <c r="AI4" i="23" s="1"/>
  <c r="P5" i="23"/>
  <c r="R5" i="23" s="1"/>
  <c r="S5" i="23" s="1"/>
  <c r="T5" i="23" s="1"/>
  <c r="AM5" i="23" s="1"/>
  <c r="V5" i="23"/>
  <c r="W5" i="23"/>
  <c r="X5" i="23" s="1"/>
  <c r="AH5" i="23" s="1"/>
  <c r="AA5" i="23"/>
  <c r="AC5" i="23"/>
  <c r="AE5" i="23"/>
  <c r="AN5" i="23" s="1"/>
  <c r="AG5" i="23"/>
  <c r="AI5" i="23" s="1"/>
  <c r="AL5" i="23" s="1"/>
  <c r="BH5" i="23"/>
  <c r="P6" i="23"/>
  <c r="R6" i="23" s="1"/>
  <c r="S6" i="23" s="1"/>
  <c r="V6" i="23"/>
  <c r="W6" i="23" s="1"/>
  <c r="AA6" i="23"/>
  <c r="AC6" i="23"/>
  <c r="AG6" i="23"/>
  <c r="AI6" i="23"/>
  <c r="P7" i="23"/>
  <c r="R7" i="23"/>
  <c r="S7" i="23" s="1"/>
  <c r="V7" i="23"/>
  <c r="W7" i="23" s="1"/>
  <c r="AA7" i="23"/>
  <c r="AC7" i="23"/>
  <c r="AG7" i="23"/>
  <c r="AI7" i="23" s="1"/>
  <c r="AL7" i="23" s="1"/>
  <c r="BH7" i="23"/>
  <c r="P8" i="23"/>
  <c r="R8" i="23" s="1"/>
  <c r="S8" i="23" s="1"/>
  <c r="V8" i="23"/>
  <c r="W8" i="23"/>
  <c r="AA8" i="23"/>
  <c r="AC8" i="23" s="1"/>
  <c r="AG8" i="23"/>
  <c r="AI8" i="23" s="1"/>
  <c r="P9" i="23"/>
  <c r="R9" i="23" s="1"/>
  <c r="S9" i="23" s="1"/>
  <c r="T9" i="23" s="1"/>
  <c r="AM9" i="23" s="1"/>
  <c r="AA9" i="23"/>
  <c r="AC9" i="23"/>
  <c r="AE9" i="23" s="1"/>
  <c r="AN9" i="23" s="1"/>
  <c r="AG9" i="23"/>
  <c r="AI9" i="23" s="1"/>
  <c r="AL9" i="23" s="1"/>
  <c r="BH9" i="23"/>
  <c r="P10" i="23"/>
  <c r="R10" i="23"/>
  <c r="S10" i="23" s="1"/>
  <c r="T10" i="23" s="1"/>
  <c r="AM10" i="23" s="1"/>
  <c r="AP9" i="23" s="1"/>
  <c r="V10" i="23"/>
  <c r="W10" i="23"/>
  <c r="X10" i="23"/>
  <c r="AH10" i="23" s="1"/>
  <c r="AA10" i="23"/>
  <c r="AC10" i="23" s="1"/>
  <c r="AG10" i="23"/>
  <c r="AI10" i="23" s="1"/>
  <c r="AE3" i="24"/>
  <c r="AH3" i="24"/>
  <c r="BH5" i="24"/>
  <c r="BH7" i="24"/>
  <c r="BH9" i="24"/>
  <c r="BH3" i="24"/>
  <c r="BG5" i="24"/>
  <c r="BG7" i="24"/>
  <c r="BG9" i="24"/>
  <c r="BG3" i="24"/>
  <c r="AG10" i="24"/>
  <c r="AI10" i="24" s="1"/>
  <c r="AA10" i="24"/>
  <c r="AC10" i="24" s="1"/>
  <c r="P10" i="24"/>
  <c r="V10" i="24" s="1"/>
  <c r="W10" i="24" s="1"/>
  <c r="I10" i="24"/>
  <c r="AE10" i="24" s="1"/>
  <c r="AN10" i="24" s="1"/>
  <c r="H10" i="24"/>
  <c r="A10" i="24" s="1"/>
  <c r="AG9" i="24"/>
  <c r="AI9" i="24" s="1"/>
  <c r="AL9" i="24" s="1"/>
  <c r="AC9" i="24"/>
  <c r="AA9" i="24"/>
  <c r="P9" i="24"/>
  <c r="V9" i="24" s="1"/>
  <c r="W9" i="24" s="1"/>
  <c r="H9" i="24"/>
  <c r="I9" i="24" s="1"/>
  <c r="AI8" i="24"/>
  <c r="AG8" i="24"/>
  <c r="AA8" i="24"/>
  <c r="AC8" i="24" s="1"/>
  <c r="P8" i="24"/>
  <c r="V8" i="24" s="1"/>
  <c r="W8" i="24" s="1"/>
  <c r="H8" i="24"/>
  <c r="I8" i="24" s="1"/>
  <c r="AG7" i="24"/>
  <c r="AI7" i="24" s="1"/>
  <c r="AL7" i="24" s="1"/>
  <c r="AA7" i="24"/>
  <c r="AC7" i="24" s="1"/>
  <c r="P7" i="24"/>
  <c r="R7" i="24" s="1"/>
  <c r="S7" i="24" s="1"/>
  <c r="H7" i="24"/>
  <c r="I7" i="24" s="1"/>
  <c r="A7" i="24"/>
  <c r="AG6" i="24"/>
  <c r="AI6" i="24" s="1"/>
  <c r="AA6" i="24"/>
  <c r="AC6" i="24" s="1"/>
  <c r="P6" i="24"/>
  <c r="V6" i="24" s="1"/>
  <c r="W6" i="24" s="1"/>
  <c r="H6" i="24"/>
  <c r="I6" i="24" s="1"/>
  <c r="A6" i="24"/>
  <c r="AG5" i="24"/>
  <c r="AI5" i="24" s="1"/>
  <c r="AL5" i="24" s="1"/>
  <c r="AA5" i="24"/>
  <c r="AC5" i="24" s="1"/>
  <c r="AE5" i="24" s="1"/>
  <c r="AN5" i="24" s="1"/>
  <c r="P5" i="24"/>
  <c r="V5" i="24" s="1"/>
  <c r="W5" i="24" s="1"/>
  <c r="X5" i="24" s="1"/>
  <c r="AH5" i="24" s="1"/>
  <c r="I5" i="24"/>
  <c r="H5" i="24"/>
  <c r="A5" i="24"/>
  <c r="B5" i="24" s="1"/>
  <c r="AG4" i="24"/>
  <c r="AI4" i="24" s="1"/>
  <c r="AA4" i="24"/>
  <c r="AC4" i="24" s="1"/>
  <c r="P4" i="24"/>
  <c r="R4" i="24" s="1"/>
  <c r="S4" i="24" s="1"/>
  <c r="H4" i="24"/>
  <c r="I4" i="24" s="1"/>
  <c r="A4" i="24"/>
  <c r="AI3" i="24"/>
  <c r="AL3" i="24" s="1"/>
  <c r="AG3" i="24"/>
  <c r="AA3" i="24"/>
  <c r="AC3" i="24" s="1"/>
  <c r="P3" i="24"/>
  <c r="V3" i="24" s="1"/>
  <c r="W3" i="24" s="1"/>
  <c r="I3" i="24"/>
  <c r="AN3" i="24" s="1"/>
  <c r="H3" i="24"/>
  <c r="A3" i="24"/>
  <c r="B3" i="24" s="1"/>
  <c r="H4" i="21"/>
  <c r="A4" i="21" s="1"/>
  <c r="AA4" i="21"/>
  <c r="G3" i="22"/>
  <c r="J30" i="15"/>
  <c r="K35" i="15"/>
  <c r="M35" i="15"/>
  <c r="J32" i="15"/>
  <c r="H21" i="7"/>
  <c r="J21" i="7" s="1"/>
  <c r="L30" i="15"/>
  <c r="K30" i="15"/>
  <c r="M30" i="14"/>
  <c r="L30" i="14"/>
  <c r="K30" i="14"/>
  <c r="H29" i="10"/>
  <c r="J29" i="10" s="1"/>
  <c r="H17" i="10"/>
  <c r="J17" i="10" s="1"/>
  <c r="L30" i="16"/>
  <c r="K30" i="16"/>
  <c r="J32" i="16"/>
  <c r="H32" i="16"/>
  <c r="H32" i="10"/>
  <c r="E2" i="7"/>
  <c r="E26" i="7"/>
  <c r="E25" i="7"/>
  <c r="E24" i="7"/>
  <c r="E23" i="7"/>
  <c r="E22" i="7"/>
  <c r="E21" i="7"/>
  <c r="E20" i="7"/>
  <c r="E19" i="7"/>
  <c r="E18" i="7"/>
  <c r="E17" i="7"/>
  <c r="H17" i="7" s="1"/>
  <c r="J17" i="7" s="1"/>
  <c r="E16" i="7"/>
  <c r="E15" i="7"/>
  <c r="E14" i="7"/>
  <c r="E13" i="7"/>
  <c r="H13" i="7" s="1"/>
  <c r="J13" i="7" s="1"/>
  <c r="E12" i="7"/>
  <c r="H12" i="7" s="1"/>
  <c r="J12" i="7" s="1"/>
  <c r="E11" i="7"/>
  <c r="H11" i="7" s="1"/>
  <c r="J11" i="7" s="1"/>
  <c r="E10" i="7"/>
  <c r="E9" i="7"/>
  <c r="E8" i="7"/>
  <c r="E7" i="7"/>
  <c r="E6" i="7"/>
  <c r="E5" i="7"/>
  <c r="E4" i="7"/>
  <c r="E3" i="7"/>
  <c r="H18" i="7"/>
  <c r="J18" i="7" s="1"/>
  <c r="L9" i="16"/>
  <c r="L16" i="16"/>
  <c r="L23" i="16"/>
  <c r="L2" i="16"/>
  <c r="M2" i="16" s="1"/>
  <c r="M9" i="16"/>
  <c r="M16" i="16"/>
  <c r="M23" i="16"/>
  <c r="H29" i="16"/>
  <c r="J29" i="16" s="1"/>
  <c r="H17" i="16"/>
  <c r="J17" i="16" s="1"/>
  <c r="P5" i="21"/>
  <c r="V5" i="21" s="1"/>
  <c r="W5" i="21" s="1"/>
  <c r="P6" i="21"/>
  <c r="V6" i="21" s="1"/>
  <c r="W6" i="21" s="1"/>
  <c r="P7" i="21"/>
  <c r="V7" i="21" s="1"/>
  <c r="W7" i="21" s="1"/>
  <c r="P8" i="21"/>
  <c r="V8" i="21" s="1"/>
  <c r="W8" i="21" s="1"/>
  <c r="P9" i="21"/>
  <c r="R9" i="21" s="1"/>
  <c r="S9" i="21" s="1"/>
  <c r="P10" i="21"/>
  <c r="V10" i="21" s="1"/>
  <c r="W10" i="21" s="1"/>
  <c r="P11" i="21"/>
  <c r="V11" i="21" s="1"/>
  <c r="W11" i="21" s="1"/>
  <c r="AG11" i="21"/>
  <c r="AI11" i="21" s="1"/>
  <c r="AA11" i="21"/>
  <c r="AC11" i="21" s="1"/>
  <c r="H11" i="21"/>
  <c r="I11" i="21" s="1"/>
  <c r="AG10" i="21"/>
  <c r="AI10" i="21" s="1"/>
  <c r="AA10" i="21"/>
  <c r="AC10" i="21" s="1"/>
  <c r="H10" i="21"/>
  <c r="A10" i="21" s="1"/>
  <c r="AG9" i="21"/>
  <c r="AI9" i="21" s="1"/>
  <c r="AA9" i="21"/>
  <c r="AC9" i="21" s="1"/>
  <c r="H9" i="21"/>
  <c r="A9" i="21" s="1"/>
  <c r="AG8" i="21"/>
  <c r="AI8" i="21" s="1"/>
  <c r="AA8" i="21"/>
  <c r="AC8" i="21" s="1"/>
  <c r="H8" i="21"/>
  <c r="A8" i="21" s="1"/>
  <c r="AG7" i="21"/>
  <c r="AI7" i="21" s="1"/>
  <c r="AA7" i="21"/>
  <c r="AC7" i="21" s="1"/>
  <c r="H7" i="21"/>
  <c r="A7" i="21" s="1"/>
  <c r="AG6" i="21"/>
  <c r="AI6" i="21" s="1"/>
  <c r="AA6" i="21"/>
  <c r="AC6" i="21" s="1"/>
  <c r="H6" i="21"/>
  <c r="A6" i="21" s="1"/>
  <c r="AG5" i="21"/>
  <c r="AI5" i="21" s="1"/>
  <c r="AA5" i="21"/>
  <c r="AC5" i="21" s="1"/>
  <c r="H5" i="21"/>
  <c r="A5" i="21" s="1"/>
  <c r="AG4" i="21"/>
  <c r="AI4" i="21" s="1"/>
  <c r="AC4" i="21"/>
  <c r="P4" i="21"/>
  <c r="V4" i="21" s="1"/>
  <c r="W4" i="21" s="1"/>
  <c r="M27" i="22"/>
  <c r="P27" i="22" s="1"/>
  <c r="M26" i="22"/>
  <c r="P26" i="22" s="1"/>
  <c r="Q26" i="22" s="1"/>
  <c r="M20" i="22"/>
  <c r="P20" i="22" s="1"/>
  <c r="M19" i="22"/>
  <c r="P19" i="22" s="1"/>
  <c r="Q19" i="22" s="1"/>
  <c r="M13" i="22"/>
  <c r="P13" i="22" s="1"/>
  <c r="M12" i="22"/>
  <c r="P12" i="22" s="1"/>
  <c r="Q12" i="22" s="1"/>
  <c r="M6" i="22"/>
  <c r="P6" i="22" s="1"/>
  <c r="P31" i="22" s="1"/>
  <c r="M5" i="22"/>
  <c r="P5" i="22" s="1"/>
  <c r="P30" i="22" s="1"/>
  <c r="Q30" i="22" s="1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17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17" i="22"/>
  <c r="A11" i="21"/>
  <c r="N4" i="20"/>
  <c r="P4" i="20" s="1"/>
  <c r="Q4" i="20" s="1"/>
  <c r="Y4" i="20"/>
  <c r="AA4" i="20"/>
  <c r="AE4" i="20"/>
  <c r="N5" i="20"/>
  <c r="P5" i="20" s="1"/>
  <c r="Q5" i="20" s="1"/>
  <c r="T5" i="20"/>
  <c r="U5" i="20" s="1"/>
  <c r="Y5" i="20"/>
  <c r="AA5" i="20"/>
  <c r="AE5" i="20"/>
  <c r="N6" i="20"/>
  <c r="P6" i="20" s="1"/>
  <c r="Q6" i="20" s="1"/>
  <c r="T6" i="20"/>
  <c r="U6" i="20"/>
  <c r="Y6" i="20"/>
  <c r="AA6" i="20"/>
  <c r="AE6" i="20"/>
  <c r="N7" i="20"/>
  <c r="P7" i="20" s="1"/>
  <c r="Q7" i="20" s="1"/>
  <c r="T7" i="20"/>
  <c r="U7" i="20"/>
  <c r="Y7" i="20"/>
  <c r="AA7" i="20"/>
  <c r="AE7" i="20"/>
  <c r="AG7" i="20" s="1"/>
  <c r="N8" i="20"/>
  <c r="T8" i="20" s="1"/>
  <c r="U8" i="20" s="1"/>
  <c r="P8" i="20"/>
  <c r="Q8" i="20"/>
  <c r="Y8" i="20"/>
  <c r="AA8" i="20" s="1"/>
  <c r="AC8" i="20" s="1"/>
  <c r="AE8" i="20"/>
  <c r="N9" i="20"/>
  <c r="P9" i="20"/>
  <c r="Q9" i="20"/>
  <c r="T9" i="20"/>
  <c r="U9" i="20" s="1"/>
  <c r="Y9" i="20"/>
  <c r="AA9" i="20"/>
  <c r="AE9" i="20"/>
  <c r="N10" i="20"/>
  <c r="P10" i="20"/>
  <c r="Q10" i="20" s="1"/>
  <c r="T10" i="20"/>
  <c r="U10" i="20" s="1"/>
  <c r="Y10" i="20"/>
  <c r="AA10" i="20"/>
  <c r="AE10" i="20"/>
  <c r="AG10" i="20"/>
  <c r="G4" i="20"/>
  <c r="AC4" i="20" s="1"/>
  <c r="G5" i="20"/>
  <c r="G6" i="20"/>
  <c r="AC6" i="20" s="1"/>
  <c r="G7" i="20"/>
  <c r="AC7" i="20" s="1"/>
  <c r="G8" i="20"/>
  <c r="R8" i="20" s="1"/>
  <c r="G9" i="20"/>
  <c r="R9" i="20" s="1"/>
  <c r="G10" i="20"/>
  <c r="AC10" i="20" s="1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3" i="20"/>
  <c r="AE25" i="20"/>
  <c r="AG25" i="20" s="1"/>
  <c r="Y25" i="20"/>
  <c r="AA25" i="20" s="1"/>
  <c r="N25" i="20"/>
  <c r="T25" i="20" s="1"/>
  <c r="U25" i="20" s="1"/>
  <c r="F25" i="20"/>
  <c r="AE23" i="20"/>
  <c r="AG23" i="20" s="1"/>
  <c r="Y23" i="20"/>
  <c r="AA23" i="20" s="1"/>
  <c r="N23" i="20"/>
  <c r="T23" i="20" s="1"/>
  <c r="U23" i="20" s="1"/>
  <c r="F23" i="20"/>
  <c r="AE21" i="20"/>
  <c r="AG21" i="20" s="1"/>
  <c r="Y21" i="20"/>
  <c r="AA21" i="20" s="1"/>
  <c r="AC21" i="20" s="1"/>
  <c r="AL21" i="20" s="1"/>
  <c r="N21" i="20"/>
  <c r="T21" i="20" s="1"/>
  <c r="U21" i="20" s="1"/>
  <c r="F21" i="20"/>
  <c r="AE19" i="20"/>
  <c r="AG19" i="20" s="1"/>
  <c r="Y19" i="20"/>
  <c r="AA19" i="20" s="1"/>
  <c r="N19" i="20"/>
  <c r="T19" i="20" s="1"/>
  <c r="U19" i="20" s="1"/>
  <c r="F19" i="20"/>
  <c r="AE17" i="20"/>
  <c r="AG17" i="20" s="1"/>
  <c r="Y17" i="20"/>
  <c r="AA17" i="20" s="1"/>
  <c r="N17" i="20"/>
  <c r="T17" i="20" s="1"/>
  <c r="U17" i="20" s="1"/>
  <c r="F17" i="20"/>
  <c r="AE15" i="20"/>
  <c r="AG15" i="20" s="1"/>
  <c r="Y15" i="20"/>
  <c r="AA15" i="20" s="1"/>
  <c r="N15" i="20"/>
  <c r="T15" i="20" s="1"/>
  <c r="U15" i="20" s="1"/>
  <c r="F15" i="20"/>
  <c r="AE13" i="20"/>
  <c r="AG13" i="20" s="1"/>
  <c r="Y13" i="20"/>
  <c r="AA13" i="20" s="1"/>
  <c r="N13" i="20"/>
  <c r="T13" i="20" s="1"/>
  <c r="U13" i="20" s="1"/>
  <c r="AE11" i="20"/>
  <c r="AG11" i="20" s="1"/>
  <c r="Y11" i="20"/>
  <c r="AA11" i="20" s="1"/>
  <c r="N11" i="20"/>
  <c r="T11" i="20" s="1"/>
  <c r="U11" i="20" s="1"/>
  <c r="AG9" i="20"/>
  <c r="AG5" i="20"/>
  <c r="AE26" i="20"/>
  <c r="AG26" i="20" s="1"/>
  <c r="Y26" i="20"/>
  <c r="AA26" i="20" s="1"/>
  <c r="N26" i="20"/>
  <c r="T26" i="20" s="1"/>
  <c r="U26" i="20" s="1"/>
  <c r="AE24" i="20"/>
  <c r="AG24" i="20" s="1"/>
  <c r="Y24" i="20"/>
  <c r="AA24" i="20" s="1"/>
  <c r="N24" i="20"/>
  <c r="T24" i="20" s="1"/>
  <c r="U24" i="20" s="1"/>
  <c r="AE22" i="20"/>
  <c r="AG22" i="20" s="1"/>
  <c r="AJ21" i="20" s="1"/>
  <c r="Y22" i="20"/>
  <c r="AA22" i="20" s="1"/>
  <c r="N22" i="20"/>
  <c r="T22" i="20" s="1"/>
  <c r="U22" i="20" s="1"/>
  <c r="AE20" i="20"/>
  <c r="AG20" i="20" s="1"/>
  <c r="Y20" i="20"/>
  <c r="AA20" i="20" s="1"/>
  <c r="N20" i="20"/>
  <c r="T20" i="20" s="1"/>
  <c r="U20" i="20" s="1"/>
  <c r="AE18" i="20"/>
  <c r="AG18" i="20" s="1"/>
  <c r="Y18" i="20"/>
  <c r="AA18" i="20" s="1"/>
  <c r="N18" i="20"/>
  <c r="T18" i="20" s="1"/>
  <c r="U18" i="20" s="1"/>
  <c r="AE16" i="20"/>
  <c r="AG16" i="20" s="1"/>
  <c r="Y16" i="20"/>
  <c r="AA16" i="20" s="1"/>
  <c r="N16" i="20"/>
  <c r="T16" i="20" s="1"/>
  <c r="U16" i="20" s="1"/>
  <c r="AE14" i="20"/>
  <c r="AG14" i="20" s="1"/>
  <c r="Y14" i="20"/>
  <c r="AA14" i="20" s="1"/>
  <c r="N14" i="20"/>
  <c r="T14" i="20" s="1"/>
  <c r="U14" i="20" s="1"/>
  <c r="F14" i="20"/>
  <c r="AE12" i="20"/>
  <c r="AG12" i="20" s="1"/>
  <c r="Y12" i="20"/>
  <c r="AA12" i="20" s="1"/>
  <c r="N12" i="20"/>
  <c r="T12" i="20" s="1"/>
  <c r="U12" i="20" s="1"/>
  <c r="F12" i="20"/>
  <c r="AG8" i="20"/>
  <c r="AG6" i="20"/>
  <c r="AG4" i="20"/>
  <c r="F4" i="20"/>
  <c r="AE3" i="20"/>
  <c r="AG3" i="20" s="1"/>
  <c r="Y3" i="20"/>
  <c r="AA3" i="20" s="1"/>
  <c r="N3" i="20"/>
  <c r="P3" i="20" s="1"/>
  <c r="Q3" i="20" s="1"/>
  <c r="F3" i="20"/>
  <c r="L9" i="7"/>
  <c r="L16" i="7"/>
  <c r="L23" i="7" s="1"/>
  <c r="L2" i="7"/>
  <c r="M9" i="15"/>
  <c r="M16" i="15"/>
  <c r="M23" i="15"/>
  <c r="AK3" i="8"/>
  <c r="AE3" i="8"/>
  <c r="AG3" i="8" s="1"/>
  <c r="T3" i="8"/>
  <c r="Z3" i="8" s="1"/>
  <c r="AA3" i="8" s="1"/>
  <c r="M3" i="8"/>
  <c r="AI3" i="8" s="1"/>
  <c r="L3" i="8"/>
  <c r="H23" i="15"/>
  <c r="J23" i="15" s="1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I33" i="16"/>
  <c r="I32" i="16"/>
  <c r="E31" i="16"/>
  <c r="E30" i="16"/>
  <c r="H30" i="16" s="1"/>
  <c r="J30" i="16" s="1"/>
  <c r="E29" i="16"/>
  <c r="E28" i="16"/>
  <c r="H28" i="16" s="1"/>
  <c r="J28" i="16" s="1"/>
  <c r="E27" i="16"/>
  <c r="H27" i="16" s="1"/>
  <c r="J27" i="16" s="1"/>
  <c r="E26" i="16"/>
  <c r="H26" i="16" s="1"/>
  <c r="J26" i="16" s="1"/>
  <c r="E25" i="16"/>
  <c r="H25" i="16" s="1"/>
  <c r="J25" i="16" s="1"/>
  <c r="E24" i="16"/>
  <c r="H24" i="16" s="1"/>
  <c r="J24" i="16" s="1"/>
  <c r="E23" i="16"/>
  <c r="H23" i="16" s="1"/>
  <c r="E22" i="16"/>
  <c r="H22" i="16" s="1"/>
  <c r="J22" i="16" s="1"/>
  <c r="E21" i="16"/>
  <c r="H21" i="16" s="1"/>
  <c r="J21" i="16" s="1"/>
  <c r="H20" i="16"/>
  <c r="J20" i="16" s="1"/>
  <c r="E20" i="16"/>
  <c r="E19" i="16"/>
  <c r="H19" i="16" s="1"/>
  <c r="J19" i="16" s="1"/>
  <c r="E18" i="16"/>
  <c r="H18" i="16" s="1"/>
  <c r="J18" i="16" s="1"/>
  <c r="E17" i="16"/>
  <c r="E16" i="16"/>
  <c r="H16" i="16" s="1"/>
  <c r="E15" i="16"/>
  <c r="H15" i="16" s="1"/>
  <c r="J15" i="16" s="1"/>
  <c r="E14" i="16"/>
  <c r="E13" i="16"/>
  <c r="H13" i="16" s="1"/>
  <c r="J13" i="16" s="1"/>
  <c r="E12" i="16"/>
  <c r="E11" i="16"/>
  <c r="E10" i="16"/>
  <c r="H10" i="16" s="1"/>
  <c r="J10" i="16" s="1"/>
  <c r="E9" i="16"/>
  <c r="H9" i="16" s="1"/>
  <c r="E8" i="16"/>
  <c r="H8" i="16" s="1"/>
  <c r="J8" i="16" s="1"/>
  <c r="E7" i="16"/>
  <c r="H7" i="16" s="1"/>
  <c r="J7" i="16" s="1"/>
  <c r="E6" i="16"/>
  <c r="H6" i="16" s="1"/>
  <c r="J6" i="16" s="1"/>
  <c r="E5" i="16"/>
  <c r="H5" i="16" s="1"/>
  <c r="J5" i="16" s="1"/>
  <c r="E4" i="16"/>
  <c r="H4" i="16" s="1"/>
  <c r="J4" i="16" s="1"/>
  <c r="E3" i="16"/>
  <c r="H3" i="16" s="1"/>
  <c r="J3" i="16" s="1"/>
  <c r="H2" i="16"/>
  <c r="E2" i="16"/>
  <c r="G31" i="15"/>
  <c r="G30" i="15"/>
  <c r="G29" i="15"/>
  <c r="G28" i="15"/>
  <c r="G27" i="15"/>
  <c r="G26" i="15"/>
  <c r="G25" i="15"/>
  <c r="G24" i="15"/>
  <c r="G23" i="15"/>
  <c r="G22" i="15"/>
  <c r="H30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H16" i="15"/>
  <c r="H17" i="15"/>
  <c r="J17" i="15" s="1"/>
  <c r="G21" i="15"/>
  <c r="I33" i="15"/>
  <c r="I32" i="15"/>
  <c r="E31" i="15"/>
  <c r="E30" i="15"/>
  <c r="E29" i="15"/>
  <c r="E28" i="15"/>
  <c r="H28" i="15" s="1"/>
  <c r="J28" i="15" s="1"/>
  <c r="E27" i="15"/>
  <c r="H27" i="15" s="1"/>
  <c r="J27" i="15" s="1"/>
  <c r="E26" i="15"/>
  <c r="H26" i="15" s="1"/>
  <c r="J26" i="15" s="1"/>
  <c r="E25" i="15"/>
  <c r="H25" i="15" s="1"/>
  <c r="J25" i="15" s="1"/>
  <c r="E24" i="15"/>
  <c r="H24" i="15" s="1"/>
  <c r="J24" i="15" s="1"/>
  <c r="L23" i="15"/>
  <c r="E23" i="15"/>
  <c r="E22" i="15"/>
  <c r="H22" i="15" s="1"/>
  <c r="J22" i="15" s="1"/>
  <c r="E21" i="15"/>
  <c r="H21" i="15" s="1"/>
  <c r="J21" i="15" s="1"/>
  <c r="H20" i="15"/>
  <c r="J20" i="15" s="1"/>
  <c r="E20" i="15"/>
  <c r="E19" i="15"/>
  <c r="E18" i="15"/>
  <c r="E17" i="15"/>
  <c r="L16" i="15"/>
  <c r="E16" i="15"/>
  <c r="H15" i="15"/>
  <c r="J15" i="15" s="1"/>
  <c r="E15" i="15"/>
  <c r="H14" i="15"/>
  <c r="J14" i="15" s="1"/>
  <c r="E14" i="15"/>
  <c r="E13" i="15"/>
  <c r="H13" i="15" s="1"/>
  <c r="J13" i="15" s="1"/>
  <c r="E12" i="15"/>
  <c r="H12" i="15" s="1"/>
  <c r="J12" i="15" s="1"/>
  <c r="E11" i="15"/>
  <c r="H11" i="15" s="1"/>
  <c r="J11" i="15" s="1"/>
  <c r="E10" i="15"/>
  <c r="H10" i="15" s="1"/>
  <c r="J10" i="15" s="1"/>
  <c r="L9" i="15"/>
  <c r="H9" i="15"/>
  <c r="E9" i="15"/>
  <c r="E8" i="15"/>
  <c r="H8" i="15" s="1"/>
  <c r="J8" i="15" s="1"/>
  <c r="E7" i="15"/>
  <c r="H7" i="15" s="1"/>
  <c r="J7" i="15" s="1"/>
  <c r="H6" i="15"/>
  <c r="J6" i="15" s="1"/>
  <c r="E6" i="15"/>
  <c r="E5" i="15"/>
  <c r="H5" i="15" s="1"/>
  <c r="J5" i="15" s="1"/>
  <c r="E4" i="15"/>
  <c r="H4" i="15" s="1"/>
  <c r="J4" i="15" s="1"/>
  <c r="H3" i="15"/>
  <c r="J3" i="15" s="1"/>
  <c r="E3" i="15"/>
  <c r="L2" i="15"/>
  <c r="H2" i="15"/>
  <c r="E2" i="15"/>
  <c r="L23" i="11"/>
  <c r="L23" i="10"/>
  <c r="L30" i="10" s="1"/>
  <c r="L16" i="10"/>
  <c r="L9" i="10"/>
  <c r="L2" i="10"/>
  <c r="L16" i="11"/>
  <c r="L9" i="11"/>
  <c r="L2" i="11"/>
  <c r="L23" i="14"/>
  <c r="L16" i="14"/>
  <c r="L9" i="14"/>
  <c r="L2" i="14"/>
  <c r="J12" i="10"/>
  <c r="J2" i="11"/>
  <c r="J15" i="11"/>
  <c r="J16" i="11"/>
  <c r="J17" i="11"/>
  <c r="J29" i="11"/>
  <c r="E3" i="14"/>
  <c r="E4" i="14"/>
  <c r="E5" i="14"/>
  <c r="H5" i="14" s="1"/>
  <c r="J5" i="14" s="1"/>
  <c r="E6" i="14"/>
  <c r="E7" i="14"/>
  <c r="H7" i="14" s="1"/>
  <c r="J7" i="14" s="1"/>
  <c r="E8" i="14"/>
  <c r="H8" i="14" s="1"/>
  <c r="J8" i="14" s="1"/>
  <c r="E9" i="14"/>
  <c r="E10" i="14"/>
  <c r="H10" i="14" s="1"/>
  <c r="J10" i="14" s="1"/>
  <c r="E11" i="14"/>
  <c r="H11" i="14" s="1"/>
  <c r="J11" i="14" s="1"/>
  <c r="E12" i="14"/>
  <c r="H12" i="14" s="1"/>
  <c r="J12" i="14" s="1"/>
  <c r="E13" i="14"/>
  <c r="H13" i="14" s="1"/>
  <c r="J13" i="14" s="1"/>
  <c r="E14" i="14"/>
  <c r="E15" i="14"/>
  <c r="E16" i="14"/>
  <c r="E17" i="14"/>
  <c r="H17" i="14" s="1"/>
  <c r="J17" i="14" s="1"/>
  <c r="E18" i="14"/>
  <c r="H18" i="14" s="1"/>
  <c r="J18" i="14" s="1"/>
  <c r="E19" i="14"/>
  <c r="E20" i="14"/>
  <c r="H20" i="14" s="1"/>
  <c r="J20" i="14" s="1"/>
  <c r="E21" i="14"/>
  <c r="H21" i="14" s="1"/>
  <c r="J21" i="14" s="1"/>
  <c r="E22" i="14"/>
  <c r="E23" i="14"/>
  <c r="E24" i="14"/>
  <c r="H24" i="14" s="1"/>
  <c r="J24" i="14" s="1"/>
  <c r="E25" i="14"/>
  <c r="H25" i="14" s="1"/>
  <c r="J25" i="14" s="1"/>
  <c r="E26" i="14"/>
  <c r="H26" i="14" s="1"/>
  <c r="J26" i="14" s="1"/>
  <c r="E27" i="14"/>
  <c r="H27" i="14" s="1"/>
  <c r="J27" i="14" s="1"/>
  <c r="E28" i="14"/>
  <c r="H28" i="14" s="1"/>
  <c r="J28" i="14" s="1"/>
  <c r="E29" i="14"/>
  <c r="H29" i="14" s="1"/>
  <c r="J29" i="14" s="1"/>
  <c r="E30" i="14"/>
  <c r="E31" i="14"/>
  <c r="E2" i="14"/>
  <c r="I33" i="14"/>
  <c r="H30" i="14"/>
  <c r="J30" i="14" s="1"/>
  <c r="H22" i="14"/>
  <c r="J22" i="14" s="1"/>
  <c r="H19" i="14"/>
  <c r="J19" i="14" s="1"/>
  <c r="H16" i="14"/>
  <c r="H15" i="14"/>
  <c r="J15" i="14" s="1"/>
  <c r="H14" i="14"/>
  <c r="J14" i="14" s="1"/>
  <c r="H9" i="14"/>
  <c r="J9" i="14" s="1"/>
  <c r="H6" i="14"/>
  <c r="J6" i="14" s="1"/>
  <c r="H4" i="14"/>
  <c r="J4" i="14" s="1"/>
  <c r="H3" i="14"/>
  <c r="J3" i="14" s="1"/>
  <c r="H2" i="14"/>
  <c r="E2" i="11"/>
  <c r="E3" i="11"/>
  <c r="E4" i="11"/>
  <c r="H4" i="11" s="1"/>
  <c r="J4" i="11" s="1"/>
  <c r="E5" i="11"/>
  <c r="E6" i="11"/>
  <c r="H6" i="11" s="1"/>
  <c r="J6" i="11" s="1"/>
  <c r="E7" i="11"/>
  <c r="E8" i="11"/>
  <c r="E9" i="11"/>
  <c r="H9" i="11" s="1"/>
  <c r="E10" i="11"/>
  <c r="H10" i="11" s="1"/>
  <c r="J10" i="11" s="1"/>
  <c r="E11" i="11"/>
  <c r="E12" i="11"/>
  <c r="E13" i="11"/>
  <c r="E14" i="11"/>
  <c r="H14" i="11" s="1"/>
  <c r="J14" i="11" s="1"/>
  <c r="E15" i="11"/>
  <c r="H15" i="11" s="1"/>
  <c r="E16" i="11"/>
  <c r="H16" i="11" s="1"/>
  <c r="E17" i="11"/>
  <c r="H17" i="11" s="1"/>
  <c r="E18" i="11"/>
  <c r="E19" i="11"/>
  <c r="E20" i="11"/>
  <c r="E21" i="11"/>
  <c r="E22" i="11"/>
  <c r="H22" i="11" s="1"/>
  <c r="E23" i="11"/>
  <c r="H23" i="11" s="1"/>
  <c r="E24" i="11"/>
  <c r="H24" i="11" s="1"/>
  <c r="J24" i="11" s="1"/>
  <c r="E25" i="11"/>
  <c r="H25" i="11" s="1"/>
  <c r="J25" i="11" s="1"/>
  <c r="E26" i="11"/>
  <c r="H26" i="11" s="1"/>
  <c r="J26" i="11" s="1"/>
  <c r="E27" i="11"/>
  <c r="E28" i="11"/>
  <c r="H28" i="11" s="1"/>
  <c r="J28" i="11" s="1"/>
  <c r="E29" i="11"/>
  <c r="H29" i="11" s="1"/>
  <c r="E30" i="11"/>
  <c r="H30" i="11" s="1"/>
  <c r="J30" i="11" s="1"/>
  <c r="E31" i="11"/>
  <c r="H12" i="11"/>
  <c r="J12" i="11" s="1"/>
  <c r="H13" i="11"/>
  <c r="J13" i="11" s="1"/>
  <c r="H18" i="11"/>
  <c r="J18" i="11" s="1"/>
  <c r="H12" i="10"/>
  <c r="H13" i="10"/>
  <c r="J13" i="10" s="1"/>
  <c r="H14" i="10"/>
  <c r="J14" i="10" s="1"/>
  <c r="H24" i="10"/>
  <c r="J24" i="10" s="1"/>
  <c r="H25" i="10"/>
  <c r="J25" i="10" s="1"/>
  <c r="H26" i="10"/>
  <c r="J26" i="10" s="1"/>
  <c r="H2" i="7"/>
  <c r="J2" i="7" s="1"/>
  <c r="H3" i="7"/>
  <c r="J3" i="7" s="1"/>
  <c r="H4" i="7"/>
  <c r="J4" i="7" s="1"/>
  <c r="H5" i="7"/>
  <c r="J5" i="7" s="1"/>
  <c r="H6" i="7"/>
  <c r="J6" i="7" s="1"/>
  <c r="H7" i="7"/>
  <c r="J7" i="7" s="1"/>
  <c r="H8" i="7"/>
  <c r="J8" i="7" s="1"/>
  <c r="H9" i="7"/>
  <c r="H10" i="7"/>
  <c r="J10" i="7" s="1"/>
  <c r="H14" i="7"/>
  <c r="J14" i="7" s="1"/>
  <c r="H15" i="7"/>
  <c r="J15" i="7" s="1"/>
  <c r="H16" i="7"/>
  <c r="J16" i="7" s="1"/>
  <c r="H19" i="7"/>
  <c r="J19" i="7" s="1"/>
  <c r="H20" i="7"/>
  <c r="J20" i="7" s="1"/>
  <c r="H22" i="7"/>
  <c r="J22" i="7" s="1"/>
  <c r="H23" i="7"/>
  <c r="J23" i="7" s="1"/>
  <c r="H24" i="7"/>
  <c r="J24" i="7" s="1"/>
  <c r="H25" i="7"/>
  <c r="J25" i="7" s="1"/>
  <c r="H26" i="7"/>
  <c r="J26" i="7" s="1"/>
  <c r="H11" i="11"/>
  <c r="J11" i="11" s="1"/>
  <c r="H27" i="11"/>
  <c r="J27" i="11" s="1"/>
  <c r="E3" i="10"/>
  <c r="E4" i="10"/>
  <c r="E5" i="10"/>
  <c r="H5" i="10" s="1"/>
  <c r="J5" i="10" s="1"/>
  <c r="E6" i="10"/>
  <c r="E7" i="10"/>
  <c r="H7" i="10" s="1"/>
  <c r="J7" i="10" s="1"/>
  <c r="E8" i="10"/>
  <c r="H8" i="10" s="1"/>
  <c r="J8" i="10" s="1"/>
  <c r="E9" i="10"/>
  <c r="H9" i="10" s="1"/>
  <c r="E10" i="10"/>
  <c r="H10" i="10" s="1"/>
  <c r="J10" i="10" s="1"/>
  <c r="E11" i="10"/>
  <c r="H11" i="10" s="1"/>
  <c r="J11" i="10" s="1"/>
  <c r="E12" i="10"/>
  <c r="E13" i="10"/>
  <c r="E14" i="10"/>
  <c r="E15" i="10"/>
  <c r="H15" i="10" s="1"/>
  <c r="J15" i="10" s="1"/>
  <c r="E16" i="10"/>
  <c r="H16" i="10" s="1"/>
  <c r="J16" i="10" s="1"/>
  <c r="E17" i="10"/>
  <c r="E18" i="10"/>
  <c r="H18" i="10" s="1"/>
  <c r="J18" i="10" s="1"/>
  <c r="E19" i="10"/>
  <c r="H19" i="10" s="1"/>
  <c r="J19" i="10" s="1"/>
  <c r="E20" i="10"/>
  <c r="H20" i="10" s="1"/>
  <c r="J20" i="10" s="1"/>
  <c r="E21" i="10"/>
  <c r="H21" i="10" s="1"/>
  <c r="J21" i="10" s="1"/>
  <c r="E22" i="10"/>
  <c r="E23" i="10"/>
  <c r="H23" i="10" s="1"/>
  <c r="J23" i="10" s="1"/>
  <c r="E24" i="10"/>
  <c r="E25" i="10"/>
  <c r="E26" i="10"/>
  <c r="E27" i="10"/>
  <c r="H27" i="10" s="1"/>
  <c r="J27" i="10" s="1"/>
  <c r="E28" i="10"/>
  <c r="H28" i="10" s="1"/>
  <c r="J28" i="10" s="1"/>
  <c r="E29" i="10"/>
  <c r="E30" i="10"/>
  <c r="H30" i="10" s="1"/>
  <c r="J30" i="10" s="1"/>
  <c r="E31" i="10"/>
  <c r="E2" i="10"/>
  <c r="H2" i="10" s="1"/>
  <c r="J2" i="10" s="1"/>
  <c r="I33" i="11"/>
  <c r="I32" i="11"/>
  <c r="H21" i="11"/>
  <c r="J21" i="11" s="1"/>
  <c r="H20" i="11"/>
  <c r="J20" i="11" s="1"/>
  <c r="H19" i="11"/>
  <c r="J19" i="11" s="1"/>
  <c r="H8" i="11"/>
  <c r="J8" i="11" s="1"/>
  <c r="H7" i="11"/>
  <c r="J7" i="11" s="1"/>
  <c r="H5" i="11"/>
  <c r="J5" i="11" s="1"/>
  <c r="H3" i="11"/>
  <c r="J3" i="11" s="1"/>
  <c r="H2" i="11"/>
  <c r="K2" i="11" s="1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H53" i="10"/>
  <c r="F53" i="10"/>
  <c r="F54" i="10" s="1"/>
  <c r="F55" i="10" s="1"/>
  <c r="G53" i="10"/>
  <c r="G54" i="10" s="1"/>
  <c r="G55" i="10" s="1"/>
  <c r="I33" i="10"/>
  <c r="I32" i="10"/>
  <c r="P21" i="8"/>
  <c r="O21" i="8"/>
  <c r="AE5" i="8"/>
  <c r="AG5" i="8" s="1"/>
  <c r="AE6" i="8"/>
  <c r="AE7" i="8"/>
  <c r="AG7" i="8" s="1"/>
  <c r="AE8" i="8"/>
  <c r="AG8" i="8" s="1"/>
  <c r="AE9" i="8"/>
  <c r="AE10" i="8"/>
  <c r="AG10" i="8" s="1"/>
  <c r="AE11" i="8"/>
  <c r="AG11" i="8" s="1"/>
  <c r="AE12" i="8"/>
  <c r="AG12" i="8" s="1"/>
  <c r="AE13" i="8"/>
  <c r="AG13" i="8" s="1"/>
  <c r="AE14" i="8"/>
  <c r="AG14" i="8" s="1"/>
  <c r="AE15" i="8"/>
  <c r="AG15" i="8" s="1"/>
  <c r="AG6" i="8"/>
  <c r="AG9" i="8"/>
  <c r="AK5" i="8"/>
  <c r="AK6" i="8"/>
  <c r="AK7" i="8"/>
  <c r="AK8" i="8"/>
  <c r="AK9" i="8"/>
  <c r="AK10" i="8"/>
  <c r="AK11" i="8"/>
  <c r="AK12" i="8"/>
  <c r="AK13" i="8"/>
  <c r="AK14" i="8"/>
  <c r="AK15" i="8"/>
  <c r="AE4" i="8"/>
  <c r="AG4" i="8" s="1"/>
  <c r="M4" i="8"/>
  <c r="T4" i="8"/>
  <c r="V4" i="8" s="1"/>
  <c r="W4" i="8" s="1"/>
  <c r="AK4" i="8"/>
  <c r="T5" i="8"/>
  <c r="V5" i="8" s="1"/>
  <c r="W5" i="8" s="1"/>
  <c r="T6" i="8"/>
  <c r="V6" i="8" s="1"/>
  <c r="W6" i="8" s="1"/>
  <c r="T7" i="8"/>
  <c r="V7" i="8" s="1"/>
  <c r="W7" i="8" s="1"/>
  <c r="T8" i="8"/>
  <c r="Z8" i="8" s="1"/>
  <c r="AA8" i="8" s="1"/>
  <c r="T9" i="8"/>
  <c r="V9" i="8" s="1"/>
  <c r="W9" i="8" s="1"/>
  <c r="Z9" i="8"/>
  <c r="AA9" i="8" s="1"/>
  <c r="T10" i="8"/>
  <c r="V10" i="8" s="1"/>
  <c r="W10" i="8" s="1"/>
  <c r="T11" i="8"/>
  <c r="V11" i="8" s="1"/>
  <c r="W11" i="8" s="1"/>
  <c r="T12" i="8"/>
  <c r="V12" i="8" s="1"/>
  <c r="W12" i="8" s="1"/>
  <c r="T13" i="8"/>
  <c r="V13" i="8" s="1"/>
  <c r="W13" i="8" s="1"/>
  <c r="Z13" i="8"/>
  <c r="AA13" i="8" s="1"/>
  <c r="T14" i="8"/>
  <c r="V14" i="8" s="1"/>
  <c r="W14" i="8" s="1"/>
  <c r="T15" i="8"/>
  <c r="V15" i="8" s="1"/>
  <c r="W15" i="8" s="1"/>
  <c r="Z15" i="8"/>
  <c r="AA15" i="8" s="1"/>
  <c r="H5" i="8"/>
  <c r="L5" i="8" s="1"/>
  <c r="H6" i="8"/>
  <c r="L6" i="8" s="1"/>
  <c r="H7" i="8"/>
  <c r="L7" i="8" s="1"/>
  <c r="H8" i="8"/>
  <c r="L8" i="8" s="1"/>
  <c r="H9" i="8"/>
  <c r="M9" i="8" s="1"/>
  <c r="H10" i="8"/>
  <c r="L10" i="8" s="1"/>
  <c r="H11" i="8"/>
  <c r="M11" i="8" s="1"/>
  <c r="H12" i="8"/>
  <c r="M12" i="8" s="1"/>
  <c r="H13" i="8"/>
  <c r="M13" i="8" s="1"/>
  <c r="H14" i="8"/>
  <c r="M14" i="8" s="1"/>
  <c r="H15" i="8"/>
  <c r="M15" i="8" s="1"/>
  <c r="I28" i="7"/>
  <c r="H31" i="3"/>
  <c r="J31" i="3" s="1"/>
  <c r="H32" i="3"/>
  <c r="J32" i="3" s="1"/>
  <c r="H33" i="3"/>
  <c r="H57" i="3" s="1"/>
  <c r="J57" i="3" s="1"/>
  <c r="H34" i="3"/>
  <c r="J34" i="3" s="1"/>
  <c r="H35" i="3"/>
  <c r="J35" i="3"/>
  <c r="H36" i="3"/>
  <c r="J36" i="3" s="1"/>
  <c r="H37" i="3"/>
  <c r="J37" i="3"/>
  <c r="H38" i="3"/>
  <c r="J38" i="3"/>
  <c r="H39" i="3"/>
  <c r="J39" i="3" s="1"/>
  <c r="H40" i="3"/>
  <c r="J40" i="3"/>
  <c r="H41" i="3"/>
  <c r="J41" i="3" s="1"/>
  <c r="H42" i="3"/>
  <c r="J42" i="3" s="1"/>
  <c r="H43" i="3"/>
  <c r="J43" i="3"/>
  <c r="H44" i="3"/>
  <c r="J44" i="3" s="1"/>
  <c r="H45" i="3"/>
  <c r="J45" i="3" s="1"/>
  <c r="H46" i="3"/>
  <c r="J46" i="3" s="1"/>
  <c r="H47" i="3"/>
  <c r="J47" i="3" s="1"/>
  <c r="H48" i="3"/>
  <c r="J48" i="3"/>
  <c r="H49" i="3"/>
  <c r="J49" i="3" s="1"/>
  <c r="H50" i="3"/>
  <c r="J50" i="3" s="1"/>
  <c r="H51" i="3"/>
  <c r="J51" i="3" s="1"/>
  <c r="H52" i="3"/>
  <c r="J52" i="3" s="1"/>
  <c r="H53" i="3"/>
  <c r="J53" i="3"/>
  <c r="H54" i="3"/>
  <c r="J54" i="3" s="1"/>
  <c r="H55" i="3"/>
  <c r="J55" i="3" s="1"/>
  <c r="I57" i="3"/>
  <c r="J43" i="6"/>
  <c r="I43" i="6"/>
  <c r="H43" i="6"/>
  <c r="D43" i="6"/>
  <c r="E43" i="6"/>
  <c r="C43" i="6"/>
  <c r="H42" i="6"/>
  <c r="J42" i="6" s="1"/>
  <c r="H41" i="6"/>
  <c r="J41" i="6" s="1"/>
  <c r="H40" i="6"/>
  <c r="J40" i="6" s="1"/>
  <c r="H39" i="6"/>
  <c r="J39" i="6" s="1"/>
  <c r="H38" i="6"/>
  <c r="J38" i="6" s="1"/>
  <c r="H37" i="6"/>
  <c r="J37" i="6" s="1"/>
  <c r="H36" i="6"/>
  <c r="J36" i="6" s="1"/>
  <c r="H26" i="6"/>
  <c r="H27" i="6"/>
  <c r="J27" i="6" s="1"/>
  <c r="H28" i="6"/>
  <c r="J28" i="6" s="1"/>
  <c r="H29" i="6"/>
  <c r="J29" i="6" s="1"/>
  <c r="H30" i="6"/>
  <c r="J30" i="6" s="1"/>
  <c r="H31" i="6"/>
  <c r="J31" i="6" s="1"/>
  <c r="H32" i="6"/>
  <c r="J32" i="6" s="1"/>
  <c r="H25" i="6"/>
  <c r="J25" i="6" s="1"/>
  <c r="H15" i="6"/>
  <c r="J15" i="6" s="1"/>
  <c r="H16" i="6"/>
  <c r="H17" i="6"/>
  <c r="H18" i="6"/>
  <c r="H19" i="6"/>
  <c r="J19" i="6" s="1"/>
  <c r="H20" i="6"/>
  <c r="J20" i="6" s="1"/>
  <c r="H14" i="6"/>
  <c r="J14" i="6" s="1"/>
  <c r="H3" i="6"/>
  <c r="J3" i="6" s="1"/>
  <c r="H4" i="6"/>
  <c r="J4" i="6" s="1"/>
  <c r="H5" i="6"/>
  <c r="J5" i="6" s="1"/>
  <c r="H6" i="6"/>
  <c r="J6" i="6" s="1"/>
  <c r="H7" i="6"/>
  <c r="J7" i="6" s="1"/>
  <c r="H8" i="6"/>
  <c r="J8" i="6" s="1"/>
  <c r="H9" i="6"/>
  <c r="J9" i="6" s="1"/>
  <c r="J26" i="6"/>
  <c r="J16" i="6"/>
  <c r="J17" i="6"/>
  <c r="J18" i="6"/>
  <c r="I32" i="6"/>
  <c r="D32" i="6"/>
  <c r="E32" i="6"/>
  <c r="C32" i="6"/>
  <c r="D21" i="6"/>
  <c r="C21" i="6"/>
  <c r="I21" i="6"/>
  <c r="E21" i="6"/>
  <c r="H21" i="6" s="1"/>
  <c r="J21" i="6" s="1"/>
  <c r="C10" i="6"/>
  <c r="H10" i="6" s="1"/>
  <c r="J10" i="6" s="1"/>
  <c r="D10" i="6"/>
  <c r="E10" i="6"/>
  <c r="I10" i="6"/>
  <c r="N26" i="3"/>
  <c r="N19" i="3"/>
  <c r="H7" i="3"/>
  <c r="K7" i="3" s="1"/>
  <c r="H8" i="3"/>
  <c r="L8" i="3" s="1"/>
  <c r="H9" i="3"/>
  <c r="K9" i="3" s="1"/>
  <c r="H10" i="3"/>
  <c r="K10" i="3" s="1"/>
  <c r="H11" i="3"/>
  <c r="K11" i="3" s="1"/>
  <c r="H12" i="3"/>
  <c r="M12" i="3" s="1"/>
  <c r="O12" i="3" s="1"/>
  <c r="H13" i="3"/>
  <c r="K13" i="3" s="1"/>
  <c r="H14" i="3"/>
  <c r="M14" i="3" s="1"/>
  <c r="O14" i="3" s="1"/>
  <c r="H15" i="3"/>
  <c r="M15" i="3" s="1"/>
  <c r="O15" i="3" s="1"/>
  <c r="H16" i="3"/>
  <c r="K16" i="3" s="1"/>
  <c r="H17" i="3"/>
  <c r="M17" i="3" s="1"/>
  <c r="O17" i="3" s="1"/>
  <c r="H18" i="3"/>
  <c r="L18" i="3" s="1"/>
  <c r="H4" i="3"/>
  <c r="L4" i="3" s="1"/>
  <c r="H5" i="3"/>
  <c r="K5" i="3" s="1"/>
  <c r="H6" i="3"/>
  <c r="K6" i="3" s="1"/>
  <c r="AK3" i="3"/>
  <c r="AE3" i="3"/>
  <c r="AG3" i="3" s="1"/>
  <c r="T3" i="3"/>
  <c r="Z3" i="3" s="1"/>
  <c r="AA3" i="3" s="1"/>
  <c r="H3" i="3"/>
  <c r="L3" i="3" s="1"/>
  <c r="K3" i="5"/>
  <c r="X3" i="5"/>
  <c r="Y3" i="5" s="1"/>
  <c r="AC3" i="5"/>
  <c r="AE3" i="5" s="1"/>
  <c r="R3" i="5"/>
  <c r="T3" i="5" s="1"/>
  <c r="U3" i="5" s="1"/>
  <c r="AI3" i="5"/>
  <c r="G3" i="5"/>
  <c r="AR9" i="23" l="1"/>
  <c r="T7" i="23"/>
  <c r="AM7" i="23" s="1"/>
  <c r="B7" i="23"/>
  <c r="AL3" i="23"/>
  <c r="B3" i="23"/>
  <c r="I6" i="23"/>
  <c r="AE7" i="23"/>
  <c r="AN7" i="23" s="1"/>
  <c r="V9" i="23"/>
  <c r="W9" i="23" s="1"/>
  <c r="X9" i="23" s="1"/>
  <c r="AH9" i="23" s="1"/>
  <c r="X7" i="23"/>
  <c r="AH7" i="23" s="1"/>
  <c r="I4" i="23"/>
  <c r="I8" i="23"/>
  <c r="I3" i="23"/>
  <c r="AO9" i="23"/>
  <c r="AE6" i="23"/>
  <c r="AN6" i="23" s="1"/>
  <c r="R6" i="24"/>
  <c r="S6" i="24" s="1"/>
  <c r="V7" i="24"/>
  <c r="W7" i="24" s="1"/>
  <c r="R8" i="24"/>
  <c r="S8" i="24" s="1"/>
  <c r="V4" i="24"/>
  <c r="W4" i="24" s="1"/>
  <c r="AR3" i="24"/>
  <c r="AQ3" i="24"/>
  <c r="X6" i="24"/>
  <c r="AH6" i="24" s="1"/>
  <c r="AK5" i="24" s="1"/>
  <c r="T6" i="24"/>
  <c r="AM6" i="24" s="1"/>
  <c r="AE6" i="24"/>
  <c r="AN6" i="24" s="1"/>
  <c r="AR5" i="24" s="1"/>
  <c r="X9" i="24"/>
  <c r="AH9" i="24" s="1"/>
  <c r="AE9" i="24"/>
  <c r="AN9" i="24" s="1"/>
  <c r="AE8" i="24"/>
  <c r="AN8" i="24" s="1"/>
  <c r="X8" i="24"/>
  <c r="AH8" i="24" s="1"/>
  <c r="T8" i="24"/>
  <c r="AM8" i="24" s="1"/>
  <c r="X4" i="24"/>
  <c r="AH4" i="24" s="1"/>
  <c r="AE4" i="24"/>
  <c r="AN4" i="24" s="1"/>
  <c r="T4" i="24"/>
  <c r="AM4" i="24" s="1"/>
  <c r="T7" i="24"/>
  <c r="AM7" i="24" s="1"/>
  <c r="AE7" i="24"/>
  <c r="AN7" i="24" s="1"/>
  <c r="X7" i="24"/>
  <c r="AH7" i="24" s="1"/>
  <c r="R5" i="24"/>
  <c r="S5" i="24" s="1"/>
  <c r="T5" i="24" s="1"/>
  <c r="AM5" i="24" s="1"/>
  <c r="A8" i="24"/>
  <c r="B7" i="24" s="1"/>
  <c r="R10" i="24"/>
  <c r="S10" i="24" s="1"/>
  <c r="T10" i="24" s="1"/>
  <c r="AM10" i="24" s="1"/>
  <c r="A9" i="24"/>
  <c r="B9" i="24" s="1"/>
  <c r="R3" i="24"/>
  <c r="S3" i="24" s="1"/>
  <c r="T3" i="24" s="1"/>
  <c r="AM3" i="24" s="1"/>
  <c r="X10" i="24"/>
  <c r="AH10" i="24" s="1"/>
  <c r="R9" i="24"/>
  <c r="S9" i="24" s="1"/>
  <c r="T9" i="24" s="1"/>
  <c r="AM9" i="24" s="1"/>
  <c r="X3" i="24"/>
  <c r="I4" i="21"/>
  <c r="T4" i="21" s="1"/>
  <c r="I10" i="21"/>
  <c r="I9" i="21"/>
  <c r="AE9" i="21" s="1"/>
  <c r="AN9" i="21" s="1"/>
  <c r="BC9" i="21" s="1"/>
  <c r="I8" i="21"/>
  <c r="X8" i="21" s="1"/>
  <c r="AH8" i="21" s="1"/>
  <c r="I7" i="21"/>
  <c r="AE7" i="21" s="1"/>
  <c r="AN7" i="21" s="1"/>
  <c r="BC7" i="21" s="1"/>
  <c r="I6" i="21"/>
  <c r="AE6" i="21" s="1"/>
  <c r="AN6" i="21" s="1"/>
  <c r="BC6" i="21" s="1"/>
  <c r="BG6" i="21" s="1"/>
  <c r="BH6" i="21" s="1"/>
  <c r="I5" i="21"/>
  <c r="B6" i="21"/>
  <c r="X5" i="21"/>
  <c r="AH5" i="21" s="1"/>
  <c r="AE5" i="21"/>
  <c r="AN5" i="21" s="1"/>
  <c r="BC5" i="21" s="1"/>
  <c r="B10" i="21"/>
  <c r="AL10" i="21"/>
  <c r="J32" i="10"/>
  <c r="K9" i="7"/>
  <c r="M9" i="7" s="1"/>
  <c r="K2" i="7"/>
  <c r="AE10" i="21"/>
  <c r="AN10" i="21" s="1"/>
  <c r="BC10" i="21" s="1"/>
  <c r="BG10" i="21" s="1"/>
  <c r="BH10" i="21" s="1"/>
  <c r="R7" i="21"/>
  <c r="S7" i="21" s="1"/>
  <c r="X11" i="21"/>
  <c r="AH11" i="21" s="1"/>
  <c r="R6" i="21"/>
  <c r="S6" i="21" s="1"/>
  <c r="R5" i="21"/>
  <c r="S5" i="21" s="1"/>
  <c r="R4" i="21"/>
  <c r="S4" i="21" s="1"/>
  <c r="B8" i="21"/>
  <c r="AE11" i="21"/>
  <c r="AN11" i="21" s="1"/>
  <c r="BC11" i="21" s="1"/>
  <c r="B4" i="21"/>
  <c r="AL4" i="21"/>
  <c r="AL8" i="21"/>
  <c r="AL6" i="21"/>
  <c r="R10" i="21"/>
  <c r="S10" i="21" s="1"/>
  <c r="T10" i="21" s="1"/>
  <c r="AM10" i="21" s="1"/>
  <c r="V9" i="21"/>
  <c r="W9" i="21" s="1"/>
  <c r="X9" i="21" s="1"/>
  <c r="AH9" i="21" s="1"/>
  <c r="X10" i="21"/>
  <c r="AH10" i="21" s="1"/>
  <c r="R8" i="21"/>
  <c r="S8" i="21" s="1"/>
  <c r="T8" i="21" s="1"/>
  <c r="AM8" i="21" s="1"/>
  <c r="R11" i="21"/>
  <c r="S11" i="21" s="1"/>
  <c r="T11" i="21" s="1"/>
  <c r="AM11" i="21" s="1"/>
  <c r="G10" i="22"/>
  <c r="Q5" i="22"/>
  <c r="G17" i="22"/>
  <c r="G24" i="22"/>
  <c r="R6" i="20"/>
  <c r="V6" i="20"/>
  <c r="V10" i="20"/>
  <c r="V8" i="20"/>
  <c r="AC5" i="20"/>
  <c r="R10" i="20"/>
  <c r="V5" i="20"/>
  <c r="R5" i="20"/>
  <c r="AC9" i="20"/>
  <c r="V7" i="20"/>
  <c r="AF7" i="20" s="1"/>
  <c r="V9" i="20"/>
  <c r="AF9" i="20" s="1"/>
  <c r="R7" i="20"/>
  <c r="AK7" i="20" s="1"/>
  <c r="R4" i="20"/>
  <c r="AK4" i="20" s="1"/>
  <c r="AM3" i="20" s="1"/>
  <c r="AJ3" i="20"/>
  <c r="T4" i="20"/>
  <c r="U4" i="20" s="1"/>
  <c r="V4" i="20" s="1"/>
  <c r="AJ25" i="20"/>
  <c r="AJ5" i="20"/>
  <c r="AC17" i="20"/>
  <c r="AL17" i="20" s="1"/>
  <c r="AJ15" i="20"/>
  <c r="AJ7" i="20"/>
  <c r="AJ17" i="20"/>
  <c r="AJ9" i="20"/>
  <c r="AJ19" i="20"/>
  <c r="AJ11" i="20"/>
  <c r="AJ23" i="20"/>
  <c r="AC23" i="20"/>
  <c r="AL23" i="20" s="1"/>
  <c r="AJ13" i="20"/>
  <c r="AC25" i="20"/>
  <c r="AL25" i="20" s="1"/>
  <c r="AC15" i="20"/>
  <c r="AL15" i="20" s="1"/>
  <c r="AC19" i="20"/>
  <c r="AL19" i="20" s="1"/>
  <c r="P25" i="20"/>
  <c r="Q25" i="20" s="1"/>
  <c r="R25" i="20" s="1"/>
  <c r="AK25" i="20" s="1"/>
  <c r="V25" i="20"/>
  <c r="AF25" i="20" s="1"/>
  <c r="P23" i="20"/>
  <c r="Q23" i="20" s="1"/>
  <c r="R23" i="20" s="1"/>
  <c r="AK23" i="20" s="1"/>
  <c r="V23" i="20"/>
  <c r="AF23" i="20" s="1"/>
  <c r="P21" i="20"/>
  <c r="Q21" i="20" s="1"/>
  <c r="R21" i="20" s="1"/>
  <c r="AK21" i="20" s="1"/>
  <c r="V21" i="20"/>
  <c r="AF21" i="20" s="1"/>
  <c r="P19" i="20"/>
  <c r="Q19" i="20" s="1"/>
  <c r="R19" i="20" s="1"/>
  <c r="AK19" i="20" s="1"/>
  <c r="V19" i="20"/>
  <c r="AF19" i="20" s="1"/>
  <c r="P17" i="20"/>
  <c r="Q17" i="20" s="1"/>
  <c r="R17" i="20" s="1"/>
  <c r="AK17" i="20" s="1"/>
  <c r="V17" i="20"/>
  <c r="AF17" i="20" s="1"/>
  <c r="P15" i="20"/>
  <c r="Q15" i="20" s="1"/>
  <c r="R15" i="20" s="1"/>
  <c r="AK15" i="20" s="1"/>
  <c r="V15" i="20"/>
  <c r="AF15" i="20" s="1"/>
  <c r="AC13" i="20"/>
  <c r="AL13" i="20" s="1"/>
  <c r="V13" i="20"/>
  <c r="AF13" i="20" s="1"/>
  <c r="F13" i="20"/>
  <c r="P13" i="20"/>
  <c r="Q13" i="20" s="1"/>
  <c r="R13" i="20" s="1"/>
  <c r="AK13" i="20" s="1"/>
  <c r="AC11" i="20"/>
  <c r="AL11" i="20" s="1"/>
  <c r="V11" i="20"/>
  <c r="AF11" i="20" s="1"/>
  <c r="F11" i="20"/>
  <c r="P11" i="20"/>
  <c r="Q11" i="20" s="1"/>
  <c r="R11" i="20" s="1"/>
  <c r="AK11" i="20" s="1"/>
  <c r="AL9" i="20"/>
  <c r="F9" i="20"/>
  <c r="AK9" i="20"/>
  <c r="AL7" i="20"/>
  <c r="F7" i="20"/>
  <c r="AL5" i="20"/>
  <c r="AF5" i="20"/>
  <c r="F5" i="20"/>
  <c r="AK5" i="20"/>
  <c r="AF4" i="20"/>
  <c r="AK6" i="20"/>
  <c r="R3" i="20"/>
  <c r="AK3" i="20" s="1"/>
  <c r="P16" i="20"/>
  <c r="Q16" i="20" s="1"/>
  <c r="R16" i="20" s="1"/>
  <c r="AK16" i="20" s="1"/>
  <c r="T3" i="20"/>
  <c r="U3" i="20" s="1"/>
  <c r="V3" i="20" s="1"/>
  <c r="AF3" i="20" s="1"/>
  <c r="AC3" i="20"/>
  <c r="AL3" i="20" s="1"/>
  <c r="AL4" i="20"/>
  <c r="AO3" i="20" s="1"/>
  <c r="P18" i="20"/>
  <c r="Q18" i="20" s="1"/>
  <c r="R18" i="20" s="1"/>
  <c r="AK18" i="20" s="1"/>
  <c r="V14" i="20"/>
  <c r="AF14" i="20" s="1"/>
  <c r="V22" i="20"/>
  <c r="AF22" i="20" s="1"/>
  <c r="AC22" i="20"/>
  <c r="AL22" i="20" s="1"/>
  <c r="AP21" i="20" s="1"/>
  <c r="AF8" i="20"/>
  <c r="AL8" i="20"/>
  <c r="AL10" i="20"/>
  <c r="AF10" i="20"/>
  <c r="V24" i="20"/>
  <c r="AF24" i="20" s="1"/>
  <c r="AC24" i="20"/>
  <c r="AL24" i="20" s="1"/>
  <c r="AC16" i="20"/>
  <c r="AL16" i="20" s="1"/>
  <c r="V16" i="20"/>
  <c r="AF16" i="20" s="1"/>
  <c r="AC18" i="20"/>
  <c r="AL18" i="20" s="1"/>
  <c r="V18" i="20"/>
  <c r="AF18" i="20" s="1"/>
  <c r="AF6" i="20"/>
  <c r="AL6" i="20"/>
  <c r="AC26" i="20"/>
  <c r="AL26" i="20" s="1"/>
  <c r="V26" i="20"/>
  <c r="AF26" i="20" s="1"/>
  <c r="AC20" i="20"/>
  <c r="AL20" i="20" s="1"/>
  <c r="V20" i="20"/>
  <c r="AF20" i="20" s="1"/>
  <c r="P14" i="20"/>
  <c r="Q14" i="20" s="1"/>
  <c r="F10" i="20"/>
  <c r="F26" i="20"/>
  <c r="P12" i="20"/>
  <c r="Q12" i="20" s="1"/>
  <c r="F8" i="20"/>
  <c r="F24" i="20"/>
  <c r="AK10" i="20"/>
  <c r="P26" i="20"/>
  <c r="Q26" i="20" s="1"/>
  <c r="R26" i="20" s="1"/>
  <c r="AK26" i="20" s="1"/>
  <c r="F6" i="20"/>
  <c r="F22" i="20"/>
  <c r="AK8" i="20"/>
  <c r="P24" i="20"/>
  <c r="Q24" i="20" s="1"/>
  <c r="R24" i="20" s="1"/>
  <c r="AK24" i="20" s="1"/>
  <c r="F20" i="20"/>
  <c r="P22" i="20"/>
  <c r="Q22" i="20" s="1"/>
  <c r="R22" i="20" s="1"/>
  <c r="AK22" i="20" s="1"/>
  <c r="F18" i="20"/>
  <c r="P20" i="20"/>
  <c r="Q20" i="20" s="1"/>
  <c r="R20" i="20" s="1"/>
  <c r="AK20" i="20" s="1"/>
  <c r="F16" i="20"/>
  <c r="Z12" i="8"/>
  <c r="AA12" i="8" s="1"/>
  <c r="J9" i="7"/>
  <c r="K16" i="7"/>
  <c r="K9" i="10"/>
  <c r="M9" i="10" s="1"/>
  <c r="J9" i="10"/>
  <c r="K23" i="10"/>
  <c r="J22" i="11"/>
  <c r="K16" i="11"/>
  <c r="M16" i="11" s="1"/>
  <c r="J23" i="11"/>
  <c r="K23" i="11"/>
  <c r="M23" i="11" s="1"/>
  <c r="K9" i="11"/>
  <c r="M9" i="11" s="1"/>
  <c r="J9" i="11"/>
  <c r="J32" i="11" s="1"/>
  <c r="K16" i="14"/>
  <c r="M16" i="14" s="1"/>
  <c r="H23" i="14"/>
  <c r="J23" i="14" s="1"/>
  <c r="AI4" i="8"/>
  <c r="Z5" i="8"/>
  <c r="AA5" i="8" s="1"/>
  <c r="Z10" i="8"/>
  <c r="AA10" i="8" s="1"/>
  <c r="V3" i="8"/>
  <c r="W3" i="8" s="1"/>
  <c r="X3" i="8" s="1"/>
  <c r="L9" i="8"/>
  <c r="V8" i="8"/>
  <c r="W8" i="8" s="1"/>
  <c r="Z4" i="8"/>
  <c r="AA4" i="8" s="1"/>
  <c r="AB3" i="8"/>
  <c r="AB4" i="8"/>
  <c r="Z7" i="8"/>
  <c r="AA7" i="8" s="1"/>
  <c r="Z14" i="8"/>
  <c r="AA14" i="8" s="1"/>
  <c r="AB14" i="8" s="1"/>
  <c r="Z6" i="8"/>
  <c r="AA6" i="8" s="1"/>
  <c r="H11" i="16"/>
  <c r="J11" i="16" s="1"/>
  <c r="H12" i="16"/>
  <c r="J12" i="16" s="1"/>
  <c r="H14" i="16"/>
  <c r="J14" i="16" s="1"/>
  <c r="K23" i="16"/>
  <c r="J23" i="16"/>
  <c r="K16" i="16"/>
  <c r="K9" i="16"/>
  <c r="J9" i="16"/>
  <c r="J2" i="16"/>
  <c r="J16" i="16"/>
  <c r="K2" i="16"/>
  <c r="H33" i="16"/>
  <c r="H29" i="15"/>
  <c r="J29" i="15" s="1"/>
  <c r="H18" i="15"/>
  <c r="J18" i="15" s="1"/>
  <c r="H19" i="15"/>
  <c r="J19" i="15" s="1"/>
  <c r="K16" i="15"/>
  <c r="K9" i="15"/>
  <c r="J2" i="15"/>
  <c r="J16" i="15"/>
  <c r="K2" i="15"/>
  <c r="J9" i="15"/>
  <c r="K2" i="14"/>
  <c r="M2" i="14" s="1"/>
  <c r="J16" i="14"/>
  <c r="J2" i="14"/>
  <c r="J32" i="14" s="1"/>
  <c r="K9" i="14"/>
  <c r="M9" i="14" s="1"/>
  <c r="M2" i="7"/>
  <c r="M2" i="11"/>
  <c r="I32" i="14"/>
  <c r="H33" i="14"/>
  <c r="H32" i="14"/>
  <c r="H4" i="10"/>
  <c r="J4" i="10" s="1"/>
  <c r="H6" i="10"/>
  <c r="J6" i="10" s="1"/>
  <c r="H3" i="10"/>
  <c r="K2" i="10" s="1"/>
  <c r="M2" i="10" s="1"/>
  <c r="H22" i="10"/>
  <c r="J22" i="10" s="1"/>
  <c r="H33" i="11"/>
  <c r="H32" i="11"/>
  <c r="H28" i="7"/>
  <c r="J28" i="7" s="1"/>
  <c r="AI14" i="8"/>
  <c r="AI12" i="8"/>
  <c r="AI11" i="8"/>
  <c r="AI13" i="8"/>
  <c r="L15" i="8"/>
  <c r="L14" i="8"/>
  <c r="L13" i="8"/>
  <c r="L12" i="8"/>
  <c r="L11" i="8"/>
  <c r="AB9" i="8"/>
  <c r="AI9" i="8"/>
  <c r="X12" i="8"/>
  <c r="X11" i="8"/>
  <c r="M10" i="8"/>
  <c r="AI10" i="8" s="1"/>
  <c r="AI15" i="8"/>
  <c r="AB15" i="8"/>
  <c r="M8" i="8"/>
  <c r="M7" i="8"/>
  <c r="X7" i="8" s="1"/>
  <c r="X9" i="8"/>
  <c r="M6" i="8"/>
  <c r="M5" i="8"/>
  <c r="X15" i="8"/>
  <c r="AB13" i="8"/>
  <c r="AB12" i="8"/>
  <c r="X14" i="8"/>
  <c r="X13" i="8"/>
  <c r="X4" i="8"/>
  <c r="Z11" i="8"/>
  <c r="AA11" i="8" s="1"/>
  <c r="AB11" i="8" s="1"/>
  <c r="L4" i="8"/>
  <c r="J33" i="3"/>
  <c r="L15" i="3"/>
  <c r="L13" i="3"/>
  <c r="M9" i="3"/>
  <c r="O9" i="3" s="1"/>
  <c r="K12" i="3"/>
  <c r="M8" i="3"/>
  <c r="O8" i="3" s="1"/>
  <c r="L12" i="3"/>
  <c r="Z3" i="5"/>
  <c r="K4" i="3"/>
  <c r="L11" i="3"/>
  <c r="M26" i="3"/>
  <c r="M10" i="3"/>
  <c r="O10" i="3" s="1"/>
  <c r="M11" i="3"/>
  <c r="O11" i="3" s="1"/>
  <c r="M16" i="3"/>
  <c r="O16" i="3" s="1"/>
  <c r="M18" i="3"/>
  <c r="O18" i="3" s="1"/>
  <c r="K14" i="3"/>
  <c r="M13" i="3"/>
  <c r="O13" i="3" s="1"/>
  <c r="M7" i="3"/>
  <c r="L14" i="3"/>
  <c r="K17" i="3"/>
  <c r="L7" i="3"/>
  <c r="L10" i="3"/>
  <c r="L5" i="3"/>
  <c r="L9" i="3"/>
  <c r="L6" i="3"/>
  <c r="K18" i="3"/>
  <c r="K8" i="3"/>
  <c r="K15" i="3"/>
  <c r="L17" i="3"/>
  <c r="L16" i="3"/>
  <c r="AI3" i="3"/>
  <c r="AB3" i="3"/>
  <c r="K3" i="3"/>
  <c r="V3" i="3"/>
  <c r="W3" i="3" s="1"/>
  <c r="X3" i="3" s="1"/>
  <c r="J3" i="5"/>
  <c r="T9" i="21" l="1"/>
  <c r="AM9" i="21" s="1"/>
  <c r="BC14" i="21"/>
  <c r="AE8" i="21"/>
  <c r="AN8" i="21" s="1"/>
  <c r="BC8" i="21" s="1"/>
  <c r="BG8" i="21" s="1"/>
  <c r="BH8" i="21" s="1"/>
  <c r="X6" i="21"/>
  <c r="AH6" i="21" s="1"/>
  <c r="AE4" i="21"/>
  <c r="AN4" i="21" s="1"/>
  <c r="BC4" i="21" s="1"/>
  <c r="X3" i="23"/>
  <c r="AH3" i="23" s="1"/>
  <c r="AE3" i="23"/>
  <c r="AN3" i="23" s="1"/>
  <c r="T3" i="23"/>
  <c r="AM3" i="23" s="1"/>
  <c r="T8" i="23"/>
  <c r="AM8" i="23" s="1"/>
  <c r="X8" i="23"/>
  <c r="AH8" i="23" s="1"/>
  <c r="AE8" i="23"/>
  <c r="AN8" i="23" s="1"/>
  <c r="AE4" i="23"/>
  <c r="AN4" i="23" s="1"/>
  <c r="AQ3" i="23" s="1"/>
  <c r="T4" i="23"/>
  <c r="AM4" i="23" s="1"/>
  <c r="AJ7" i="23"/>
  <c r="AK7" i="23"/>
  <c r="AJ9" i="23"/>
  <c r="AK9" i="23"/>
  <c r="AQ7" i="23"/>
  <c r="AR7" i="23"/>
  <c r="X6" i="23"/>
  <c r="AH6" i="23" s="1"/>
  <c r="T6" i="23"/>
  <c r="AM6" i="23" s="1"/>
  <c r="X4" i="23"/>
  <c r="AH4" i="23" s="1"/>
  <c r="AQ5" i="23"/>
  <c r="AR5" i="23"/>
  <c r="AP9" i="24"/>
  <c r="AO9" i="24"/>
  <c r="AR9" i="24"/>
  <c r="AQ9" i="24"/>
  <c r="AK9" i="24"/>
  <c r="AJ9" i="24"/>
  <c r="AK3" i="24"/>
  <c r="AJ3" i="24"/>
  <c r="AP3" i="24"/>
  <c r="AO3" i="24"/>
  <c r="AP5" i="24"/>
  <c r="AO5" i="24"/>
  <c r="AK7" i="24"/>
  <c r="AJ7" i="24"/>
  <c r="AQ7" i="24"/>
  <c r="AR7" i="24"/>
  <c r="AP7" i="24"/>
  <c r="AO7" i="24"/>
  <c r="AJ5" i="24"/>
  <c r="AQ5" i="24"/>
  <c r="X7" i="21"/>
  <c r="AH7" i="21" s="1"/>
  <c r="AJ6" i="21" s="1"/>
  <c r="X4" i="21"/>
  <c r="AH4" i="21" s="1"/>
  <c r="AK4" i="21" s="1"/>
  <c r="AR8" i="21"/>
  <c r="T7" i="21"/>
  <c r="AM7" i="21" s="1"/>
  <c r="T5" i="21"/>
  <c r="AM5" i="21" s="1"/>
  <c r="AM4" i="21"/>
  <c r="AP4" i="21" s="1"/>
  <c r="T6" i="21"/>
  <c r="AM6" i="21" s="1"/>
  <c r="AR4" i="21"/>
  <c r="AR6" i="21"/>
  <c r="AQ6" i="21"/>
  <c r="M16" i="7"/>
  <c r="K23" i="7"/>
  <c r="M23" i="10"/>
  <c r="M23" i="7"/>
  <c r="AR10" i="21"/>
  <c r="AQ8" i="21"/>
  <c r="AQ10" i="21"/>
  <c r="AK10" i="21"/>
  <c r="AJ10" i="21"/>
  <c r="AP10" i="21"/>
  <c r="AO10" i="21"/>
  <c r="AP8" i="21"/>
  <c r="AO8" i="21"/>
  <c r="AK8" i="21"/>
  <c r="AJ8" i="21"/>
  <c r="AM5" i="20"/>
  <c r="AM9" i="20"/>
  <c r="AM25" i="20"/>
  <c r="AO25" i="20"/>
  <c r="AM7" i="20"/>
  <c r="AO23" i="20"/>
  <c r="AM17" i="20"/>
  <c r="AP19" i="20"/>
  <c r="AO19" i="20"/>
  <c r="AM19" i="20"/>
  <c r="AM21" i="20"/>
  <c r="AM23" i="20"/>
  <c r="AO21" i="20"/>
  <c r="AM15" i="20"/>
  <c r="AP15" i="20"/>
  <c r="AO15" i="20"/>
  <c r="AO17" i="20"/>
  <c r="AO7" i="20"/>
  <c r="AO9" i="20"/>
  <c r="AP5" i="20"/>
  <c r="AO5" i="20"/>
  <c r="AP3" i="20"/>
  <c r="AP25" i="20"/>
  <c r="AN7" i="20"/>
  <c r="AI25" i="20"/>
  <c r="AH25" i="20"/>
  <c r="AH15" i="20"/>
  <c r="AI15" i="20"/>
  <c r="AP23" i="20"/>
  <c r="AI5" i="20"/>
  <c r="AH5" i="20"/>
  <c r="AI7" i="20"/>
  <c r="AH7" i="20"/>
  <c r="AI17" i="20"/>
  <c r="AH17" i="20"/>
  <c r="AP7" i="20"/>
  <c r="AH19" i="20"/>
  <c r="AI19" i="20"/>
  <c r="AH9" i="20"/>
  <c r="AI9" i="20"/>
  <c r="AI21" i="20"/>
  <c r="AH21" i="20"/>
  <c r="AI3" i="20"/>
  <c r="AH3" i="20"/>
  <c r="AP9" i="20"/>
  <c r="AI23" i="20"/>
  <c r="AH23" i="20"/>
  <c r="AP17" i="20"/>
  <c r="AH13" i="20"/>
  <c r="AI13" i="20"/>
  <c r="AN15" i="20"/>
  <c r="AN9" i="20"/>
  <c r="AN17" i="20"/>
  <c r="AN19" i="20"/>
  <c r="AN21" i="20"/>
  <c r="AN23" i="20"/>
  <c r="AN25" i="20"/>
  <c r="AN5" i="20"/>
  <c r="AN3" i="20"/>
  <c r="AC14" i="20"/>
  <c r="AL14" i="20" s="1"/>
  <c r="AP13" i="20" s="1"/>
  <c r="R14" i="20"/>
  <c r="AK14" i="20" s="1"/>
  <c r="AN13" i="20" s="1"/>
  <c r="AC12" i="20"/>
  <c r="AL12" i="20" s="1"/>
  <c r="AO11" i="20" s="1"/>
  <c r="V12" i="20"/>
  <c r="AF12" i="20" s="1"/>
  <c r="AH11" i="20" s="1"/>
  <c r="R12" i="20"/>
  <c r="AK12" i="20" s="1"/>
  <c r="AN11" i="20" s="1"/>
  <c r="K16" i="10"/>
  <c r="M16" i="10" s="1"/>
  <c r="H33" i="10"/>
  <c r="J3" i="10"/>
  <c r="K23" i="14"/>
  <c r="M23" i="14" s="1"/>
  <c r="X8" i="8"/>
  <c r="X10" i="8"/>
  <c r="H32" i="15"/>
  <c r="H33" i="15"/>
  <c r="K23" i="15"/>
  <c r="M2" i="15"/>
  <c r="AI17" i="8"/>
  <c r="AB10" i="8"/>
  <c r="AB6" i="8"/>
  <c r="AI6" i="8"/>
  <c r="AB7" i="8"/>
  <c r="AI7" i="8"/>
  <c r="AB5" i="8"/>
  <c r="AI5" i="8"/>
  <c r="X5" i="8"/>
  <c r="AB8" i="8"/>
  <c r="AI8" i="8"/>
  <c r="X6" i="8"/>
  <c r="O7" i="3"/>
  <c r="M19" i="3"/>
  <c r="AG3" i="5"/>
  <c r="V3" i="5"/>
  <c r="M30" i="15"/>
  <c r="AK6" i="21" l="1"/>
  <c r="BG4" i="21"/>
  <c r="BH4" i="21" s="1"/>
  <c r="BC13" i="21"/>
  <c r="AP6" i="21"/>
  <c r="AQ4" i="21"/>
  <c r="AO4" i="21"/>
  <c r="AK5" i="23"/>
  <c r="AJ5" i="23"/>
  <c r="AP5" i="23"/>
  <c r="AO5" i="23"/>
  <c r="AO7" i="23"/>
  <c r="AP7" i="23"/>
  <c r="AP3" i="23"/>
  <c r="AO3" i="23"/>
  <c r="AR3" i="23"/>
  <c r="AJ3" i="23"/>
  <c r="AK3" i="23"/>
  <c r="AJ4" i="21"/>
  <c r="AO6" i="21"/>
  <c r="K30" i="10"/>
  <c r="M30" i="10" s="1"/>
  <c r="AP11" i="20"/>
  <c r="AM11" i="20"/>
  <c r="AM13" i="20"/>
  <c r="AO13" i="20"/>
  <c r="AI11" i="20"/>
  <c r="M30" i="16"/>
  <c r="L30" i="11"/>
  <c r="M30" i="11"/>
  <c r="K30" i="11"/>
</calcChain>
</file>

<file path=xl/sharedStrings.xml><?xml version="1.0" encoding="utf-8"?>
<sst xmlns="http://schemas.openxmlformats.org/spreadsheetml/2006/main" count="1576" uniqueCount="280">
  <si>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</si>
  <si>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</si>
  <si>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</si>
  <si>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</si>
  <si>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</si>
  <si>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</si>
  <si>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</si>
  <si>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</si>
  <si>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</si>
  <si>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</si>
  <si>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</si>
  <si>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</si>
  <si>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</si>
  <si>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Temperaturas medias mensuales (t)</t>
  </si>
  <si>
    <t>Temperaturas ALTA mensuales (t)</t>
  </si>
  <si>
    <t>Temperaturas BAJA mensuales (t)</t>
  </si>
  <si>
    <t>r0</t>
  </si>
  <si>
    <t>Et0</t>
  </si>
  <si>
    <t>CC</t>
  </si>
  <si>
    <t>PMP</t>
  </si>
  <si>
    <t>Prof</t>
  </si>
  <si>
    <t>pred</t>
  </si>
  <si>
    <t>Ha teorica</t>
  </si>
  <si>
    <t>Ha real</t>
  </si>
  <si>
    <t>Kc</t>
  </si>
  <si>
    <t>Etc mm/dia</t>
  </si>
  <si>
    <t>Etc mm/semana</t>
  </si>
  <si>
    <t>Ur 20%goteo 40%canal</t>
  </si>
  <si>
    <t>Hd(cm)</t>
  </si>
  <si>
    <t>Hd(mm)</t>
  </si>
  <si>
    <t>FR</t>
  </si>
  <si>
    <t>Latitud</t>
  </si>
  <si>
    <t>Tipo de suelo</t>
  </si>
  <si>
    <t>Tipo de cultivo</t>
  </si>
  <si>
    <t>palto</t>
  </si>
  <si>
    <t>Franco arenoso</t>
  </si>
  <si>
    <t>Ne</t>
  </si>
  <si>
    <t>Qe</t>
  </si>
  <si>
    <t>PP</t>
  </si>
  <si>
    <t>Ef</t>
  </si>
  <si>
    <t>Ti</t>
  </si>
  <si>
    <t>TR riego botado</t>
  </si>
  <si>
    <t>TR riego por goteo</t>
  </si>
  <si>
    <t>Lista de entradas</t>
  </si>
  <si>
    <t>Dias</t>
  </si>
  <si>
    <t>Profundidad de las raices</t>
  </si>
  <si>
    <t>% de piedras en el predio</t>
  </si>
  <si>
    <t>distancia entre plantas</t>
  </si>
  <si>
    <t>distancia entre geteo</t>
  </si>
  <si>
    <t>litros por hora por gotero</t>
  </si>
  <si>
    <t>Descripcion</t>
  </si>
  <si>
    <t>Se podria trabajar como la fecha que fue cultivada o la fecha del año en que va</t>
  </si>
  <si>
    <t>Esta por regiones es suficiente</t>
  </si>
  <si>
    <t>Es necesaria para dar la recomendación</t>
  </si>
  <si>
    <t>Omision</t>
  </si>
  <si>
    <t>NO</t>
  </si>
  <si>
    <t>SI</t>
  </si>
  <si>
    <t>Es necesaria para una aproximacion mas real</t>
  </si>
  <si>
    <t>Para dar una recomendación exacta del tiempo que tiene que durar el riego es necesario tener estas variables</t>
  </si>
  <si>
    <t>tiempo en que demorar en mojar 100cm</t>
  </si>
  <si>
    <t>Dh</t>
  </si>
  <si>
    <t>Ds</t>
  </si>
  <si>
    <t>Febrero</t>
  </si>
  <si>
    <t>DÍA</t>
  </si>
  <si>
    <t>T. MEDIA</t>
  </si>
  <si>
    <t>T. MÁX</t>
  </si>
  <si>
    <t>T. MÍN</t>
  </si>
  <si>
    <t>V. MEDIA VIENTO</t>
  </si>
  <si>
    <t>RACHAS MÁX</t>
  </si>
  <si>
    <t>PRESIÓN MEDIA</t>
  </si>
  <si>
    <t>LLUVIA</t>
  </si>
  <si>
    <t>20 °C</t>
  </si>
  <si>
    <t>7.3 km/h</t>
  </si>
  <si>
    <t>-- km/h</t>
  </si>
  <si>
    <t>1019.3 hPa</t>
  </si>
  <si>
    <t>-- mm</t>
  </si>
  <si>
    <t>15 °C</t>
  </si>
  <si>
    <t>13 km/h</t>
  </si>
  <si>
    <t>1020.6 hPa</t>
  </si>
  <si>
    <t>9 °C</t>
  </si>
  <si>
    <t>18 °C</t>
  </si>
  <si>
    <t>12.7 km/h</t>
  </si>
  <si>
    <t>1019.8 hPa</t>
  </si>
  <si>
    <t>10 °C</t>
  </si>
  <si>
    <t>11.1 km/h</t>
  </si>
  <si>
    <t>1016.4 hPa</t>
  </si>
  <si>
    <t>15.5 km/h</t>
  </si>
  <si>
    <t>1015.7 hPa</t>
  </si>
  <si>
    <t>10 km/h</t>
  </si>
  <si>
    <t>1014.5 hPa</t>
  </si>
  <si>
    <t>7.5 km/h</t>
  </si>
  <si>
    <t>1011.2 hPa</t>
  </si>
  <si>
    <t>14 °C</t>
  </si>
  <si>
    <t>17 °C</t>
  </si>
  <si>
    <t>6.8 km/h</t>
  </si>
  <si>
    <t>1016.8 hPa</t>
  </si>
  <si>
    <t>5.4 km/h</t>
  </si>
  <si>
    <t>1014.7 hPa</t>
  </si>
  <si>
    <t>21 °C</t>
  </si>
  <si>
    <t>7.7 km/h</t>
  </si>
  <si>
    <t>1019.5 hPa</t>
  </si>
  <si>
    <t>8.3 km/h</t>
  </si>
  <si>
    <t>1014.1 hPa</t>
  </si>
  <si>
    <t>19 °C</t>
  </si>
  <si>
    <t>4.7 km/h</t>
  </si>
  <si>
    <t>6.6 km/h</t>
  </si>
  <si>
    <t>1017.9 hPa</t>
  </si>
  <si>
    <t>12 °C</t>
  </si>
  <si>
    <t>10.6 km/h</t>
  </si>
  <si>
    <t>12.1 km/h</t>
  </si>
  <si>
    <t>1022.7 hPa</t>
  </si>
  <si>
    <t>1021.9 hPa</t>
  </si>
  <si>
    <t>1021.5 hPa</t>
  </si>
  <si>
    <t>9.7 km/h</t>
  </si>
  <si>
    <t>1017.6 hPa</t>
  </si>
  <si>
    <t>1013.3 hPa</t>
  </si>
  <si>
    <t>7 km/h</t>
  </si>
  <si>
    <t>1018.4 hPa</t>
  </si>
  <si>
    <t>9.1 km/h</t>
  </si>
  <si>
    <t>1019.2 hPa</t>
  </si>
  <si>
    <t>11.5 km/h</t>
  </si>
  <si>
    <t>1018 hPa</t>
  </si>
  <si>
    <t>1020.9 hPa</t>
  </si>
  <si>
    <t>11.7 km/h</t>
  </si>
  <si>
    <t>1020.5 hPa</t>
  </si>
  <si>
    <t>13.8 km/h</t>
  </si>
  <si>
    <t>1017.2 hPa</t>
  </si>
  <si>
    <t>1015.1 hPa</t>
  </si>
  <si>
    <t>https://www.meteored.cl/tiempo-en_Curico-America+Sur-Chile-Maule--sactual-18574.html</t>
  </si>
  <si>
    <t>Evapotranspiracion</t>
  </si>
  <si>
    <t>https://agrometeorologia.cl/evapotranspiracion/#</t>
  </si>
  <si>
    <t>http://www.agroclima.cl/InformesAgroclima/InformesAgroclimaticos.aspx?IdEst=157&amp;Infor=23</t>
  </si>
  <si>
    <t>https://es.weatherspark.com/y/25795/Clima-promedio-en-Talca-Chile-durante-todo-el-a%C3%B1o</t>
  </si>
  <si>
    <t>Promedio</t>
  </si>
  <si>
    <t>ene.</t>
  </si>
  <si>
    <t>feb.</t>
  </si>
  <si>
    <t>mar.</t>
  </si>
  <si>
    <t>abr.</t>
  </si>
  <si>
    <t>may.</t>
  </si>
  <si>
    <t>jun.</t>
  </si>
  <si>
    <t>jul.</t>
  </si>
  <si>
    <t>ago.</t>
  </si>
  <si>
    <t>sept.</t>
  </si>
  <si>
    <t>oct.</t>
  </si>
  <si>
    <t>nov.</t>
  </si>
  <si>
    <t>dic.</t>
  </si>
  <si>
    <t>Máxima</t>
  </si>
  <si>
    <t>Temp.</t>
  </si>
  <si>
    <t>Mínima</t>
  </si>
  <si>
    <t>https://es.weatherspark.com/y/25822/Clima-promedio-en-La-Serena-Chile-durante-todo-el-a%C3%B1o</t>
  </si>
  <si>
    <t>Papa</t>
  </si>
  <si>
    <t>C</t>
  </si>
  <si>
    <t>Etapa del cultivo</t>
  </si>
  <si>
    <t>Inicial</t>
  </si>
  <si>
    <t>Desarrollo</t>
  </si>
  <si>
    <t>Medios</t>
  </si>
  <si>
    <t>Finales</t>
  </si>
  <si>
    <t>Cosecha</t>
  </si>
  <si>
    <t>arenoso</t>
  </si>
  <si>
    <t>franco</t>
  </si>
  <si>
    <t>franco arenoso</t>
  </si>
  <si>
    <t>franco arcilloso</t>
  </si>
  <si>
    <t>arcilloso arenoso</t>
  </si>
  <si>
    <t>arcilloso</t>
  </si>
  <si>
    <t>Ur 20%goteo</t>
  </si>
  <si>
    <t>Ur 40%canal</t>
  </si>
  <si>
    <t>distancia entre goteros</t>
  </si>
  <si>
    <t>litros por hora</t>
  </si>
  <si>
    <t>esto</t>
  </si>
  <si>
    <t>profundidad de las raices</t>
  </si>
  <si>
    <t>maule</t>
  </si>
  <si>
    <t>pedregocidad</t>
  </si>
  <si>
    <t>el agua de riego en infiltrar</t>
  </si>
  <si>
    <t>coquimbo</t>
  </si>
  <si>
    <t>region</t>
  </si>
  <si>
    <t>Dia</t>
  </si>
  <si>
    <t>Maxima</t>
  </si>
  <si>
    <t>Minima</t>
  </si>
  <si>
    <t>Ra (pag 21)</t>
  </si>
  <si>
    <t>Valores obtenidos de agroclima Eto</t>
  </si>
  <si>
    <t>Diferencia</t>
  </si>
  <si>
    <t>abril</t>
  </si>
  <si>
    <t>mayo</t>
  </si>
  <si>
    <t>Día</t>
  </si>
  <si>
    <t>T° máxima</t>
  </si>
  <si>
    <t>T° mínima</t>
  </si>
  <si>
    <t>Oscilación Térmica</t>
  </si>
  <si>
    <t>T° media</t>
  </si>
  <si>
    <t>-</t>
  </si>
  <si>
    <t>Radiación solar, máximas mensuales (w/m2)</t>
  </si>
  <si>
    <t>Comuna</t>
  </si>
  <si>
    <t>Estación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</si>
  <si>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</si>
  <si>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</si>
  <si>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</si>
  <si>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</si>
  <si>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</si>
  <si>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</si>
  <si>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</si>
  <si>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</si>
  <si>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</si>
  <si>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</si>
  <si>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</si>
  <si>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</si>
  <si>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Monte Patria</t>
  </si>
  <si>
    <t>El Palqui</t>
  </si>
  <si>
    <t>Illapel</t>
  </si>
  <si>
    <t>Vicuña</t>
  </si>
  <si>
    <t>Paihuano</t>
  </si>
  <si>
    <t>Ovalle</t>
  </si>
  <si>
    <t>Recoleta</t>
  </si>
  <si>
    <t>Punitaqui</t>
  </si>
  <si>
    <t>Combarbalá</t>
  </si>
  <si>
    <t>Combarbala</t>
  </si>
  <si>
    <t>Salamanca</t>
  </si>
  <si>
    <t xml:space="preserve">Metodo Hargreaves </t>
  </si>
  <si>
    <t>Estación Sagrada Familia</t>
  </si>
  <si>
    <t>Estación Coquimbo</t>
  </si>
  <si>
    <t>Estación Illapel</t>
  </si>
  <si>
    <t>Días</t>
  </si>
  <si>
    <t>Radiación Solar W/m2</t>
  </si>
  <si>
    <t>Estación Paillaco</t>
  </si>
  <si>
    <t>Metodo Hargreaves 5 dias</t>
  </si>
  <si>
    <t>Estación Sagrada Familia 5 dias</t>
  </si>
  <si>
    <t xml:space="preserve">Metodo Hargreaves 7 dias </t>
  </si>
  <si>
    <t>Estación Paillaco 7 dias</t>
  </si>
  <si>
    <t>Metodo Hargreaves 7 dias</t>
  </si>
  <si>
    <t>Estación Illapel 7 dias</t>
  </si>
  <si>
    <t>Estación Coquimbo 7 dias</t>
  </si>
  <si>
    <t>No se usa</t>
  </si>
  <si>
    <t>Riego Botado</t>
  </si>
  <si>
    <t>Riego tecnificado</t>
  </si>
  <si>
    <t>Frecuencia</t>
  </si>
  <si>
    <t>Tiempo</t>
  </si>
  <si>
    <t>Diferencias</t>
  </si>
  <si>
    <t>Numero</t>
  </si>
  <si>
    <t xml:space="preserve">Lunes </t>
  </si>
  <si>
    <t>Martes</t>
  </si>
  <si>
    <t>Miercoles</t>
  </si>
  <si>
    <t>Jueves</t>
  </si>
  <si>
    <t xml:space="preserve">Viernes </t>
  </si>
  <si>
    <t>Sabado</t>
  </si>
  <si>
    <t>Domingo</t>
  </si>
  <si>
    <t>Nada</t>
  </si>
  <si>
    <t>Semana</t>
  </si>
  <si>
    <t>Litros</t>
  </si>
  <si>
    <t>ABRIL</t>
  </si>
  <si>
    <t>MAYO</t>
  </si>
  <si>
    <t>JUNIO</t>
  </si>
  <si>
    <t>DIA</t>
  </si>
  <si>
    <t>RA semanal</t>
  </si>
  <si>
    <t>ignorado</t>
  </si>
  <si>
    <t>Ajuste</t>
  </si>
  <si>
    <t>Normal</t>
  </si>
  <si>
    <t>Metodo</t>
  </si>
  <si>
    <t>Error</t>
  </si>
  <si>
    <t>Promedio ajuste</t>
  </si>
  <si>
    <t>Promedio normal</t>
  </si>
  <si>
    <t>Metodo hargreaves</t>
  </si>
  <si>
    <t>Minutos</t>
  </si>
  <si>
    <t>Hargreaves Ajustado</t>
  </si>
  <si>
    <t xml:space="preserve">Metodo Ajustado </t>
  </si>
  <si>
    <t>TR riego tecnificado</t>
  </si>
  <si>
    <t>TR riego por botado</t>
  </si>
  <si>
    <t>Tiempo riego tecnificado</t>
  </si>
  <si>
    <t>Frecuencia riego tecnificado</t>
  </si>
  <si>
    <t>Frecuencia riego botado</t>
  </si>
  <si>
    <t>Tiempo riego botado</t>
  </si>
  <si>
    <t>Variables iniciales</t>
  </si>
  <si>
    <t>Resultados</t>
  </si>
  <si>
    <t>desarrollo</t>
  </si>
  <si>
    <t>Minuto</t>
  </si>
  <si>
    <t>Ejemplo riego Tecnificado</t>
  </si>
  <si>
    <t>Ejemplo riego botado</t>
  </si>
  <si>
    <t>Hargreaves</t>
  </si>
  <si>
    <t>Estación Metereológica</t>
  </si>
  <si>
    <t>Paltos</t>
  </si>
  <si>
    <t>Papa franco arenoso</t>
  </si>
  <si>
    <t>Papa arenoso</t>
  </si>
  <si>
    <t>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</si>
</sst>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0.000"/>
    <numFmt numFmtId="165" formatCode="0.000000"/>
    <numFmt numFmtId="166" formatCode="0.00000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  <font>
      <b/>
      <sz val="10"/>
      <color rgb="FFD8D8D8"/>
      <name val="Arial"/>
      <family val="2"/>
    </font>
    <font>
      <b/>
      <sz val="10"/>
      <color rgb="FF585858"/>
      <name val="Arial"/>
      <family val="2"/>
    </font>
    <font>
      <b/>
      <sz val="10"/>
      <color rgb="FF444444"/>
      <name val="Arial"/>
      <family val="2"/>
    </font>
    <font>
      <b/>
      <sz val="10"/>
      <color rgb="FF0098FD"/>
      <name val="Arial"/>
      <family val="2"/>
    </font>
    <font>
      <sz val="11"/>
      <name val="Calibri"/>
      <family val="2"/>
      <scheme val="minor"/>
    </font>
    <font>
      <sz val="8"/>
      <color rgb="FFFFFFFF"/>
      <name val="Arial"/>
      <family val="2"/>
    </font>
    <font>
      <sz val="9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BA4545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646B9"/>
      <name val="Calibri"/>
      <family val="2"/>
      <scheme val="minor"/>
    </font>
    <font>
      <sz val="11"/>
      <color indexed="8"/>
      <name val="Calibri"/>
      <family val="2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333333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C000F"/>
        <bgColor indexed="64"/>
      </patternFill>
    </fill>
    <fill>
      <patternFill patternType="solid">
        <fgColor rgb="FF0D00E7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680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BA00F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7" fillId="0" borderId="0" applyFill="0" applyProtection="0"/>
    <xf numFmtId="41" fontId="3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0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/>
    <xf numFmtId="1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9" fontId="0" fillId="0" borderId="1" xfId="1" applyFont="1" applyBorder="1"/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0" fontId="0" fillId="0" borderId="15" xfId="0" applyFill="1" applyBorder="1" applyAlignment="1">
      <alignment horizontal="center"/>
    </xf>
    <xf numFmtId="164" fontId="0" fillId="0" borderId="15" xfId="0" applyNumberFormat="1" applyFont="1" applyFill="1" applyBorder="1" applyAlignment="1">
      <alignment horizontal="center"/>
    </xf>
    <xf numFmtId="0" fontId="0" fillId="0" borderId="15" xfId="0" applyFill="1" applyBorder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9" fontId="10" fillId="0" borderId="1" xfId="1" applyFont="1" applyBorder="1" applyAlignment="1">
      <alignment horizontal="center"/>
    </xf>
    <xf numFmtId="0" fontId="0" fillId="5" borderId="0" xfId="0" applyFill="1"/>
    <xf numFmtId="0" fontId="5" fillId="3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2" fillId="5" borderId="0" xfId="0" applyFont="1" applyFill="1" applyAlignment="1">
      <alignment vertical="center" wrapText="1"/>
    </xf>
    <xf numFmtId="0" fontId="11" fillId="7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0" fontId="10" fillId="0" borderId="1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 indent="2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0" fillId="0" borderId="3" xfId="0" applyBorder="1"/>
    <xf numFmtId="0" fontId="10" fillId="0" borderId="1" xfId="0" applyFont="1" applyFill="1" applyBorder="1" applyAlignment="1">
      <alignment horizontal="center"/>
    </xf>
    <xf numFmtId="0" fontId="0" fillId="3" borderId="16" xfId="0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0" fontId="14" fillId="9" borderId="17" xfId="0" applyFont="1" applyFill="1" applyBorder="1" applyAlignment="1">
      <alignment horizontal="right" vertical="top"/>
    </xf>
    <xf numFmtId="0" fontId="15" fillId="3" borderId="17" xfId="0" applyFont="1" applyFill="1" applyBorder="1" applyAlignment="1">
      <alignment horizontal="right" vertical="top"/>
    </xf>
    <xf numFmtId="0" fontId="16" fillId="10" borderId="17" xfId="0" applyFont="1" applyFill="1" applyBorder="1" applyAlignment="1">
      <alignment horizontal="right" vertical="top"/>
    </xf>
    <xf numFmtId="0" fontId="14" fillId="9" borderId="1" xfId="0" applyFont="1" applyFill="1" applyBorder="1" applyAlignment="1">
      <alignment horizontal="right" vertical="top"/>
    </xf>
    <xf numFmtId="0" fontId="15" fillId="3" borderId="1" xfId="0" applyFont="1" applyFill="1" applyBorder="1" applyAlignment="1">
      <alignment horizontal="right" vertical="top"/>
    </xf>
    <xf numFmtId="0" fontId="16" fillId="10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right" vertical="top"/>
    </xf>
    <xf numFmtId="0" fontId="16" fillId="9" borderId="17" xfId="0" applyFont="1" applyFill="1" applyBorder="1" applyAlignment="1">
      <alignment horizontal="right" vertical="top"/>
    </xf>
    <xf numFmtId="1" fontId="0" fillId="0" borderId="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4" fillId="9" borderId="19" xfId="0" applyFont="1" applyFill="1" applyBorder="1" applyAlignment="1">
      <alignment horizontal="right" vertical="top"/>
    </xf>
    <xf numFmtId="0" fontId="15" fillId="3" borderId="19" xfId="0" applyFont="1" applyFill="1" applyBorder="1" applyAlignment="1">
      <alignment horizontal="right" vertical="top"/>
    </xf>
    <xf numFmtId="1" fontId="0" fillId="0" borderId="19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4" xfId="0" applyBorder="1" applyAlignment="1">
      <alignment horizontal="center"/>
    </xf>
    <xf numFmtId="0" fontId="14" fillId="9" borderId="24" xfId="0" applyFont="1" applyFill="1" applyBorder="1" applyAlignment="1">
      <alignment horizontal="right" vertical="top"/>
    </xf>
    <xf numFmtId="0" fontId="15" fillId="3" borderId="24" xfId="0" applyFont="1" applyFill="1" applyBorder="1" applyAlignment="1">
      <alignment horizontal="right" vertical="top"/>
    </xf>
    <xf numFmtId="1" fontId="0" fillId="0" borderId="24" xfId="0" applyNumberFormat="1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" fillId="2" borderId="15" xfId="0" applyFont="1" applyFill="1" applyBorder="1" applyAlignment="1">
      <alignment horizontal="center" wrapText="1"/>
    </xf>
    <xf numFmtId="0" fontId="16" fillId="10" borderId="19" xfId="0" applyFont="1" applyFill="1" applyBorder="1" applyAlignment="1">
      <alignment horizontal="right" vertical="top"/>
    </xf>
    <xf numFmtId="1" fontId="0" fillId="0" borderId="19" xfId="0" applyNumberFormat="1" applyFont="1" applyBorder="1" applyAlignment="1">
      <alignment horizontal="center"/>
    </xf>
    <xf numFmtId="2" fontId="0" fillId="0" borderId="19" xfId="0" applyNumberFormat="1" applyBorder="1"/>
    <xf numFmtId="9" fontId="0" fillId="0" borderId="19" xfId="1" applyFont="1" applyBorder="1"/>
    <xf numFmtId="0" fontId="16" fillId="10" borderId="24" xfId="0" applyFont="1" applyFill="1" applyBorder="1" applyAlignment="1">
      <alignment horizontal="right" vertical="top"/>
    </xf>
    <xf numFmtId="1" fontId="0" fillId="0" borderId="24" xfId="0" applyNumberFormat="1" applyFont="1" applyBorder="1" applyAlignment="1">
      <alignment horizontal="center"/>
    </xf>
    <xf numFmtId="0" fontId="1" fillId="0" borderId="24" xfId="0" applyFont="1" applyBorder="1"/>
    <xf numFmtId="0" fontId="1" fillId="0" borderId="19" xfId="0" applyFont="1" applyBorder="1"/>
    <xf numFmtId="2" fontId="0" fillId="0" borderId="24" xfId="0" applyNumberFormat="1" applyBorder="1"/>
    <xf numFmtId="9" fontId="0" fillId="0" borderId="24" xfId="1" applyFont="1" applyBorder="1"/>
    <xf numFmtId="0" fontId="2" fillId="12" borderId="10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horizontal="center" wrapText="1"/>
    </xf>
    <xf numFmtId="0" fontId="2" fillId="12" borderId="11" xfId="0" applyFont="1" applyFill="1" applyBorder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wrapText="1"/>
    </xf>
    <xf numFmtId="0" fontId="2" fillId="11" borderId="4" xfId="0" applyFont="1" applyFill="1" applyBorder="1" applyAlignment="1">
      <alignment wrapText="1"/>
    </xf>
    <xf numFmtId="9" fontId="0" fillId="0" borderId="0" xfId="1" applyFont="1"/>
    <xf numFmtId="0" fontId="0" fillId="0" borderId="0" xfId="0" applyBorder="1"/>
    <xf numFmtId="9" fontId="10" fillId="0" borderId="0" xfId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Font="1"/>
    <xf numFmtId="0" fontId="18" fillId="0" borderId="1" xfId="0" applyFont="1" applyBorder="1" applyAlignment="1">
      <alignment vertical="center" wrapText="1"/>
    </xf>
    <xf numFmtId="0" fontId="0" fillId="0" borderId="1" xfId="0" applyFont="1" applyBorder="1"/>
    <xf numFmtId="0" fontId="19" fillId="0" borderId="0" xfId="4"/>
    <xf numFmtId="0" fontId="0" fillId="13" borderId="0" xfId="0" applyFill="1"/>
    <xf numFmtId="0" fontId="11" fillId="14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 wrapText="1"/>
    </xf>
    <xf numFmtId="0" fontId="11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21" fillId="5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2" fillId="17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Fill="1" applyBorder="1"/>
    <xf numFmtId="9" fontId="10" fillId="0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0" fillId="0" borderId="0" xfId="3" applyNumberFormat="1" applyFont="1" applyFill="1" applyBorder="1"/>
    <xf numFmtId="1" fontId="10" fillId="0" borderId="0" xfId="3" applyNumberFormat="1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 vertical="center"/>
    </xf>
    <xf numFmtId="1" fontId="0" fillId="0" borderId="0" xfId="3" applyNumberFormat="1" applyFont="1"/>
    <xf numFmtId="1" fontId="22" fillId="17" borderId="0" xfId="3" applyNumberFormat="1" applyFont="1" applyFill="1" applyAlignment="1">
      <alignment horizontal="center" vertical="center" wrapText="1"/>
    </xf>
    <xf numFmtId="1" fontId="12" fillId="3" borderId="0" xfId="3" applyNumberFormat="1" applyFont="1" applyFill="1" applyAlignment="1">
      <alignment horizontal="center" vertical="center" wrapText="1"/>
    </xf>
    <xf numFmtId="1" fontId="11" fillId="14" borderId="0" xfId="3" applyNumberFormat="1" applyFont="1" applyFill="1" applyAlignment="1">
      <alignment horizontal="center" vertical="center"/>
    </xf>
    <xf numFmtId="1" fontId="5" fillId="3" borderId="0" xfId="3" applyNumberFormat="1" applyFont="1" applyFill="1" applyAlignment="1">
      <alignment horizontal="center" vertical="center"/>
    </xf>
    <xf numFmtId="1" fontId="11" fillId="14" borderId="0" xfId="3" applyNumberFormat="1" applyFont="1" applyFill="1" applyAlignment="1">
      <alignment horizontal="center"/>
    </xf>
    <xf numFmtId="1" fontId="5" fillId="3" borderId="0" xfId="3" applyNumberFormat="1" applyFont="1" applyFill="1" applyAlignment="1">
      <alignment horizontal="center"/>
    </xf>
    <xf numFmtId="164" fontId="5" fillId="0" borderId="0" xfId="3" applyNumberFormat="1" applyFont="1" applyFill="1" applyBorder="1" applyAlignment="1">
      <alignment horizontal="center" vertical="center"/>
    </xf>
    <xf numFmtId="164" fontId="10" fillId="0" borderId="0" xfId="3" applyNumberFormat="1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1" fillId="14" borderId="0" xfId="0" applyFont="1" applyFill="1" applyAlignment="1">
      <alignment horizontal="left" vertical="center"/>
    </xf>
    <xf numFmtId="0" fontId="11" fillId="18" borderId="0" xfId="0" applyFont="1" applyFill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2" borderId="26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165" fontId="0" fillId="0" borderId="0" xfId="0" applyNumberFormat="1" applyBorder="1"/>
    <xf numFmtId="1" fontId="10" fillId="0" borderId="1" xfId="0" applyNumberFormat="1" applyFont="1" applyFill="1" applyBorder="1" applyAlignment="1">
      <alignment horizontal="center"/>
    </xf>
    <xf numFmtId="9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0" borderId="0" xfId="0" applyFill="1"/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/>
    <xf numFmtId="9" fontId="10" fillId="0" borderId="5" xfId="0" applyNumberFormat="1" applyFont="1" applyFill="1" applyBorder="1"/>
    <xf numFmtId="0" fontId="10" fillId="20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2" fontId="0" fillId="0" borderId="4" xfId="0" applyNumberFormat="1" applyBorder="1"/>
    <xf numFmtId="9" fontId="0" fillId="0" borderId="4" xfId="1" applyFont="1" applyBorder="1"/>
    <xf numFmtId="0" fontId="2" fillId="2" borderId="26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wrapText="1"/>
    </xf>
    <xf numFmtId="0" fontId="2" fillId="12" borderId="35" xfId="0" applyFont="1" applyFill="1" applyBorder="1" applyAlignment="1">
      <alignment horizontal="center" wrapText="1"/>
    </xf>
    <xf numFmtId="0" fontId="2" fillId="12" borderId="26" xfId="0" applyFont="1" applyFill="1" applyBorder="1" applyAlignment="1">
      <alignment wrapText="1"/>
    </xf>
    <xf numFmtId="0" fontId="2" fillId="11" borderId="26" xfId="0" applyFont="1" applyFill="1" applyBorder="1" applyAlignment="1">
      <alignment wrapText="1"/>
    </xf>
    <xf numFmtId="0" fontId="2" fillId="2" borderId="36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wrapText="1"/>
    </xf>
    <xf numFmtId="0" fontId="2" fillId="12" borderId="39" xfId="0" applyFont="1" applyFill="1" applyBorder="1" applyAlignment="1">
      <alignment horizontal="center" wrapText="1"/>
    </xf>
    <xf numFmtId="0" fontId="2" fillId="12" borderId="36" xfId="0" applyFont="1" applyFill="1" applyBorder="1" applyAlignment="1">
      <alignment horizontal="center" wrapText="1"/>
    </xf>
    <xf numFmtId="0" fontId="2" fillId="12" borderId="24" xfId="0" applyFont="1" applyFill="1" applyBorder="1" applyAlignment="1">
      <alignment wrapText="1"/>
    </xf>
    <xf numFmtId="0" fontId="2" fillId="11" borderId="24" xfId="0" applyFont="1" applyFill="1" applyBorder="1" applyAlignment="1">
      <alignment wrapText="1"/>
    </xf>
    <xf numFmtId="0" fontId="0" fillId="0" borderId="18" xfId="0" applyBorder="1"/>
    <xf numFmtId="0" fontId="0" fillId="0" borderId="23" xfId="0" applyBorder="1"/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0" borderId="8" xfId="0" applyBorder="1"/>
    <xf numFmtId="0" fontId="2" fillId="11" borderId="1" xfId="0" applyFont="1" applyFill="1" applyBorder="1" applyAlignment="1">
      <alignment horizontal="center"/>
    </xf>
    <xf numFmtId="0" fontId="2" fillId="12" borderId="23" xfId="0" applyFont="1" applyFill="1" applyBorder="1"/>
    <xf numFmtId="0" fontId="2" fillId="12" borderId="41" xfId="0" applyFont="1" applyFill="1" applyBorder="1"/>
    <xf numFmtId="0" fontId="2" fillId="12" borderId="25" xfId="0" applyFont="1" applyFill="1" applyBorder="1"/>
    <xf numFmtId="0" fontId="2" fillId="11" borderId="33" xfId="0" applyFont="1" applyFill="1" applyBorder="1"/>
    <xf numFmtId="0" fontId="2" fillId="11" borderId="8" xfId="0" applyFont="1" applyFill="1" applyBorder="1"/>
    <xf numFmtId="0" fontId="2" fillId="11" borderId="4" xfId="0" applyFont="1" applyFill="1" applyBorder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10" fillId="0" borderId="4" xfId="0" applyFont="1" applyFill="1" applyBorder="1"/>
    <xf numFmtId="0" fontId="10" fillId="0" borderId="4" xfId="0" applyFont="1" applyFill="1" applyBorder="1" applyAlignment="1">
      <alignment horizontal="left"/>
    </xf>
    <xf numFmtId="0" fontId="10" fillId="22" borderId="4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0" fillId="22" borderId="0" xfId="0" applyFill="1"/>
    <xf numFmtId="0" fontId="0" fillId="0" borderId="1" xfId="0" applyBorder="1" applyAlignment="1">
      <alignment horizontal="center" vertical="center"/>
    </xf>
    <xf numFmtId="0" fontId="2" fillId="12" borderId="26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12" borderId="36" xfId="0" applyFont="1" applyFill="1" applyBorder="1" applyAlignment="1">
      <alignment horizontal="center" wrapText="1"/>
    </xf>
    <xf numFmtId="0" fontId="10" fillId="22" borderId="1" xfId="0" applyFont="1" applyFill="1" applyBorder="1"/>
    <xf numFmtId="0" fontId="10" fillId="22" borderId="1" xfId="0" applyFont="1" applyFill="1" applyBorder="1" applyAlignment="1">
      <alignment horizontal="left"/>
    </xf>
    <xf numFmtId="1" fontId="10" fillId="22" borderId="1" xfId="0" applyNumberFormat="1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 vertical="center"/>
    </xf>
    <xf numFmtId="9" fontId="10" fillId="22" borderId="1" xfId="1" applyFont="1" applyFill="1" applyBorder="1" applyAlignment="1">
      <alignment horizontal="center"/>
    </xf>
    <xf numFmtId="0" fontId="10" fillId="22" borderId="0" xfId="0" applyFont="1" applyFill="1"/>
    <xf numFmtId="0" fontId="10" fillId="22" borderId="5" xfId="0" applyFont="1" applyFill="1" applyBorder="1" applyAlignment="1">
      <alignment horizontal="center"/>
    </xf>
    <xf numFmtId="0" fontId="10" fillId="22" borderId="5" xfId="0" applyFont="1" applyFill="1" applyBorder="1"/>
    <xf numFmtId="9" fontId="10" fillId="22" borderId="5" xfId="0" applyNumberFormat="1" applyFont="1" applyFill="1" applyBorder="1"/>
    <xf numFmtId="9" fontId="0" fillId="0" borderId="0" xfId="0" applyNumberFormat="1"/>
    <xf numFmtId="165" fontId="0" fillId="0" borderId="0" xfId="0" applyNumberFormat="1"/>
    <xf numFmtId="0" fontId="2" fillId="2" borderId="4" xfId="0" applyFont="1" applyFill="1" applyBorder="1" applyAlignment="1">
      <alignment horizontal="center" wrapText="1"/>
    </xf>
    <xf numFmtId="0" fontId="2" fillId="12" borderId="4" xfId="0" applyFont="1" applyFill="1" applyBorder="1" applyAlignment="1">
      <alignment horizontal="center" wrapText="1"/>
    </xf>
    <xf numFmtId="0" fontId="2" fillId="12" borderId="26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12" borderId="36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2" fillId="23" borderId="23" xfId="0" applyFont="1" applyFill="1" applyBorder="1"/>
    <xf numFmtId="0" fontId="2" fillId="23" borderId="41" xfId="0" applyFont="1" applyFill="1" applyBorder="1"/>
    <xf numFmtId="0" fontId="2" fillId="23" borderId="25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33" xfId="0" applyFont="1" applyFill="1" applyBorder="1"/>
    <xf numFmtId="0" fontId="2" fillId="24" borderId="8" xfId="0" applyFont="1" applyFill="1" applyBorder="1"/>
    <xf numFmtId="0" fontId="2" fillId="24" borderId="4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23" borderId="4" xfId="0" applyFont="1" applyFill="1" applyBorder="1"/>
    <xf numFmtId="1" fontId="0" fillId="0" borderId="18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167" fontId="0" fillId="0" borderId="19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167" fontId="0" fillId="0" borderId="24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1" xfId="0" applyNumberFormat="1" applyBorder="1"/>
    <xf numFmtId="0" fontId="0" fillId="22" borderId="0" xfId="0" applyFill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67" fontId="0" fillId="22" borderId="1" xfId="0" applyNumberFormat="1" applyFill="1" applyBorder="1" applyAlignment="1">
      <alignment horizontal="center" vertical="center"/>
    </xf>
    <xf numFmtId="2" fontId="0" fillId="22" borderId="1" xfId="0" applyNumberFormat="1" applyFill="1" applyBorder="1"/>
    <xf numFmtId="0" fontId="0" fillId="22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2" fillId="12" borderId="4" xfId="0" applyFont="1" applyFill="1" applyBorder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11" borderId="26" xfId="0" applyFont="1" applyFill="1" applyBorder="1" applyAlignment="1">
      <alignment horizontal="center" wrapText="1"/>
    </xf>
    <xf numFmtId="0" fontId="2" fillId="11" borderId="28" xfId="0" applyFont="1" applyFill="1" applyBorder="1" applyAlignment="1">
      <alignment horizontal="center" wrapText="1"/>
    </xf>
    <xf numFmtId="0" fontId="2" fillId="11" borderId="30" xfId="0" applyFont="1" applyFill="1" applyBorder="1" applyAlignment="1">
      <alignment horizontal="center" wrapText="1"/>
    </xf>
    <xf numFmtId="0" fontId="2" fillId="12" borderId="27" xfId="0" applyFont="1" applyFill="1" applyBorder="1" applyAlignment="1">
      <alignment horizontal="center" wrapText="1"/>
    </xf>
    <xf numFmtId="0" fontId="2" fillId="12" borderId="29" xfId="0" applyFont="1" applyFill="1" applyBorder="1" applyAlignment="1">
      <alignment horizontal="center" wrapText="1"/>
    </xf>
    <xf numFmtId="0" fontId="2" fillId="12" borderId="26" xfId="0" applyFont="1" applyFill="1" applyBorder="1" applyAlignment="1">
      <alignment horizontal="center" wrapText="1"/>
    </xf>
    <xf numFmtId="0" fontId="2" fillId="12" borderId="28" xfId="0" applyFont="1" applyFill="1" applyBorder="1" applyAlignment="1">
      <alignment horizontal="center" wrapText="1"/>
    </xf>
    <xf numFmtId="0" fontId="2" fillId="12" borderId="30" xfId="0" applyFont="1" applyFill="1" applyBorder="1" applyAlignment="1">
      <alignment horizontal="center" wrapText="1"/>
    </xf>
    <xf numFmtId="0" fontId="2" fillId="11" borderId="27" xfId="0" applyFont="1" applyFill="1" applyBorder="1" applyAlignment="1">
      <alignment horizontal="center" wrapText="1"/>
    </xf>
    <xf numFmtId="0" fontId="2" fillId="11" borderId="29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2" borderId="34" xfId="0" applyFont="1" applyFill="1" applyBorder="1" applyAlignment="1">
      <alignment horizontal="center" wrapText="1"/>
    </xf>
    <xf numFmtId="0" fontId="2" fillId="2" borderId="37" xfId="0" applyFont="1" applyFill="1" applyBorder="1" applyAlignment="1">
      <alignment horizontal="center" wrapText="1"/>
    </xf>
    <xf numFmtId="0" fontId="2" fillId="12" borderId="31" xfId="0" applyFont="1" applyFill="1" applyBorder="1" applyAlignment="1">
      <alignment horizontal="center" wrapText="1"/>
    </xf>
    <xf numFmtId="0" fontId="2" fillId="11" borderId="38" xfId="0" applyFont="1" applyFill="1" applyBorder="1" applyAlignment="1">
      <alignment horizontal="center" wrapText="1"/>
    </xf>
    <xf numFmtId="0" fontId="2" fillId="12" borderId="3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11" borderId="37" xfId="0" applyFont="1" applyFill="1" applyBorder="1" applyAlignment="1">
      <alignment horizontal="center" wrapText="1"/>
    </xf>
    <xf numFmtId="0" fontId="2" fillId="12" borderId="38" xfId="0" applyFont="1" applyFill="1" applyBorder="1" applyAlignment="1">
      <alignment horizontal="center" wrapText="1"/>
    </xf>
    <xf numFmtId="0" fontId="2" fillId="11" borderId="31" xfId="0" applyFont="1" applyFill="1" applyBorder="1" applyAlignment="1">
      <alignment horizontal="center" wrapText="1"/>
    </xf>
    <xf numFmtId="0" fontId="2" fillId="11" borderId="36" xfId="0" applyFont="1" applyFill="1" applyBorder="1" applyAlignment="1">
      <alignment horizontal="center" wrapText="1"/>
    </xf>
    <xf numFmtId="9" fontId="0" fillId="0" borderId="20" xfId="1" applyFont="1" applyBorder="1" applyAlignment="1">
      <alignment horizontal="center"/>
    </xf>
    <xf numFmtId="9" fontId="0" fillId="0" borderId="25" xfId="1" applyFont="1" applyBorder="1" applyAlignment="1">
      <alignment horizontal="center"/>
    </xf>
    <xf numFmtId="9" fontId="0" fillId="0" borderId="19" xfId="1" applyFont="1" applyBorder="1" applyAlignment="1">
      <alignment horizontal="center"/>
    </xf>
    <xf numFmtId="9" fontId="0" fillId="0" borderId="24" xfId="1" applyFont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12" borderId="40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42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0" fillId="0" borderId="27" xfId="1" applyNumberFormat="1" applyFont="1" applyBorder="1" applyAlignment="1">
      <alignment horizontal="center"/>
    </xf>
    <xf numFmtId="0" fontId="0" fillId="0" borderId="31" xfId="1" applyNumberFormat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38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1" xfId="1" applyFont="1" applyBorder="1" applyAlignment="1">
      <alignment horizontal="center"/>
    </xf>
    <xf numFmtId="0" fontId="0" fillId="0" borderId="26" xfId="1" applyNumberFormat="1" applyFont="1" applyBorder="1" applyAlignment="1">
      <alignment horizontal="center"/>
    </xf>
    <xf numFmtId="0" fontId="0" fillId="0" borderId="36" xfId="1" applyNumberFormat="1" applyFon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7" fontId="0" fillId="0" borderId="32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7" fontId="0" fillId="0" borderId="21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2" fillId="23" borderId="18" xfId="0" applyFont="1" applyFill="1" applyBorder="1" applyAlignment="1">
      <alignment horizontal="center"/>
    </xf>
    <xf numFmtId="0" fontId="2" fillId="23" borderId="40" xfId="0" applyFont="1" applyFill="1" applyBorder="1" applyAlignment="1">
      <alignment horizontal="center"/>
    </xf>
    <xf numFmtId="0" fontId="2" fillId="23" borderId="42" xfId="0" applyFont="1" applyFill="1" applyBorder="1" applyAlignment="1">
      <alignment horizontal="center"/>
    </xf>
    <xf numFmtId="0" fontId="2" fillId="23" borderId="20" xfId="0" applyFont="1" applyFill="1" applyBorder="1" applyAlignment="1">
      <alignment horizontal="center"/>
    </xf>
    <xf numFmtId="0" fontId="2" fillId="24" borderId="18" xfId="0" applyFont="1" applyFill="1" applyBorder="1" applyAlignment="1">
      <alignment horizontal="center"/>
    </xf>
    <xf numFmtId="0" fontId="2" fillId="24" borderId="40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9" fontId="0" fillId="0" borderId="40" xfId="1" applyFont="1" applyBorder="1" applyAlignment="1">
      <alignment horizontal="center"/>
    </xf>
    <xf numFmtId="9" fontId="0" fillId="0" borderId="41" xfId="1" applyFont="1" applyBorder="1" applyAlignment="1">
      <alignment horizontal="center"/>
    </xf>
    <xf numFmtId="1" fontId="0" fillId="0" borderId="43" xfId="0" applyNumberFormat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2" borderId="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/>
    </xf>
    <xf numFmtId="0" fontId="2" fillId="24" borderId="6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0" borderId="43" xfId="1" applyNumberFormat="1" applyFont="1" applyBorder="1" applyAlignment="1">
      <alignment horizontal="center"/>
    </xf>
    <xf numFmtId="0" fontId="0" fillId="0" borderId="44" xfId="1" applyNumberFormat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9" fontId="0" fillId="0" borderId="36" xfId="1" applyFont="1" applyBorder="1" applyAlignment="1">
      <alignment horizontal="center"/>
    </xf>
    <xf numFmtId="0" fontId="2" fillId="23" borderId="51" xfId="0" applyFont="1" applyFill="1" applyBorder="1" applyAlignment="1">
      <alignment horizontal="center"/>
    </xf>
    <xf numFmtId="0" fontId="2" fillId="23" borderId="52" xfId="0" applyFont="1" applyFill="1" applyBorder="1" applyAlignment="1">
      <alignment horizontal="center"/>
    </xf>
    <xf numFmtId="0" fontId="2" fillId="24" borderId="51" xfId="0" applyFont="1" applyFill="1" applyBorder="1" applyAlignment="1">
      <alignment horizontal="center"/>
    </xf>
    <xf numFmtId="0" fontId="2" fillId="24" borderId="4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wrapText="1"/>
    </xf>
    <xf numFmtId="0" fontId="2" fillId="2" borderId="38" xfId="0" applyFont="1" applyFill="1" applyBorder="1" applyAlignment="1">
      <alignment horizontal="center" wrapText="1"/>
    </xf>
    <xf numFmtId="9" fontId="0" fillId="0" borderId="34" xfId="1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19" xfId="1" applyNumberFormat="1" applyFont="1" applyBorder="1" applyAlignment="1">
      <alignment horizontal="center"/>
    </xf>
    <xf numFmtId="0" fontId="0" fillId="0" borderId="24" xfId="1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2" fillId="2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9" fontId="10" fillId="22" borderId="1" xfId="1" applyFont="1" applyFill="1" applyBorder="1" applyAlignment="1">
      <alignment horizontal="center" vertical="center"/>
    </xf>
    <xf numFmtId="0" fontId="20" fillId="15" borderId="0" xfId="0" applyFont="1" applyFill="1" applyAlignment="1">
      <alignment horizontal="left" vertical="center" wrapText="1"/>
    </xf>
    <xf numFmtId="165" fontId="10" fillId="2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0" fillId="0" borderId="1" xfId="0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5">
    <cellStyle name="Hipervínculo" xfId="4" builtinId="8"/>
    <cellStyle name="Millares [0]" xfId="3" builtinId="6"/>
    <cellStyle name="Normal" xfId="0" builtinId="0"/>
    <cellStyle name="Normal 2" xfId="2" xr:uid="{7ED3325F-87F9-4EC5-B306-17412D522AE8}"/>
    <cellStyle name="Porcentaje" xfId="1" builtinId="5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</a:t>
            </a:r>
            <a:r>
              <a:rPr lang="es-CL" baseline="0"/>
              <a:t>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evapotranspiracion diaria'!$H$1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 evapotranspiracion diaria'!$H$2:$H$26</c:f>
              <c:numCache>
                <c:formatCode>General</c:formatCode>
                <c:ptCount val="25"/>
                <c:pt idx="0">
                  <c:v>3.9417288006025983</c:v>
                </c:pt>
                <c:pt idx="1">
                  <c:v>2.8462499999999999</c:v>
                </c:pt>
                <c:pt idx="2">
                  <c:v>3.6744929497142866</c:v>
                </c:pt>
                <c:pt idx="3">
                  <c:v>3.5451582915999671</c:v>
                </c:pt>
                <c:pt idx="4">
                  <c:v>3.7048566773898286</c:v>
                </c:pt>
                <c:pt idx="5">
                  <c:v>4.5375042148740752</c:v>
                </c:pt>
                <c:pt idx="6">
                  <c:v>4.4160000000000004</c:v>
                </c:pt>
                <c:pt idx="7">
                  <c:v>2.619729279906609</c:v>
                </c:pt>
                <c:pt idx="8">
                  <c:v>4.5375042148740752</c:v>
                </c:pt>
                <c:pt idx="9">
                  <c:v>3.6002531161016997</c:v>
                </c:pt>
                <c:pt idx="10">
                  <c:v>5.1881794675492872</c:v>
                </c:pt>
                <c:pt idx="11">
                  <c:v>3.2602500000000001</c:v>
                </c:pt>
                <c:pt idx="12">
                  <c:v>3.6002531161016997</c:v>
                </c:pt>
                <c:pt idx="13">
                  <c:v>2.8298413383085634</c:v>
                </c:pt>
                <c:pt idx="14">
                  <c:v>3.6144410356236274</c:v>
                </c:pt>
                <c:pt idx="15">
                  <c:v>4.1400000000000006</c:v>
                </c:pt>
                <c:pt idx="16">
                  <c:v>4.0017025751547308</c:v>
                </c:pt>
                <c:pt idx="17">
                  <c:v>5.0377974539971335</c:v>
                </c:pt>
                <c:pt idx="18">
                  <c:v>5.7086815465569636</c:v>
                </c:pt>
                <c:pt idx="19">
                  <c:v>3.4911545368258912</c:v>
                </c:pt>
                <c:pt idx="20">
                  <c:v>2.9274220741123074</c:v>
                </c:pt>
                <c:pt idx="21">
                  <c:v>3.7048566773898286</c:v>
                </c:pt>
                <c:pt idx="22">
                  <c:v>4.1400000000000006</c:v>
                </c:pt>
                <c:pt idx="23">
                  <c:v>5.0377974539971335</c:v>
                </c:pt>
                <c:pt idx="24">
                  <c:v>5.0497736149752299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1-492B-96B8-68D387CD868A}"/>
            </c:ext>
          </c:extLst>
        </c:ser>
        <c:ser>
          <c:idx val="1"/>
          <c:order val="1"/>
          <c:tx>
            <c:strRef>
              <c:f>'test evapotranspiracion diaria'!$I$1</c:f>
              <c:strCache>
                <c:ptCount val="1"/>
                <c:pt idx="0">
                  <c:v>Estación Sagrada Familia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 evapotranspiracion diaria'!$I$2:$I$26</c:f>
              <c:numCache>
                <c:formatCode>General</c:formatCode>
                <c:ptCount val="25"/>
                <c:pt idx="0">
                  <c:v>3.43</c:v>
                </c:pt>
                <c:pt idx="1">
                  <c:v>2.92</c:v>
                </c:pt>
                <c:pt idx="2">
                  <c:v>2.77</c:v>
                </c:pt>
                <c:pt idx="3">
                  <c:v>2.54</c:v>
                </c:pt>
                <c:pt idx="4">
                  <c:v>3.39</c:v>
                </c:pt>
                <c:pt idx="5">
                  <c:v>3.42</c:v>
                </c:pt>
                <c:pt idx="6">
                  <c:v>3.49</c:v>
                </c:pt>
                <c:pt idx="7">
                  <c:v>2.04</c:v>
                </c:pt>
                <c:pt idx="8">
                  <c:v>3.42</c:v>
                </c:pt>
                <c:pt idx="9">
                  <c:v>3.54</c:v>
                </c:pt>
                <c:pt idx="10">
                  <c:v>3.54</c:v>
                </c:pt>
                <c:pt idx="11">
                  <c:v>2.42</c:v>
                </c:pt>
                <c:pt idx="12">
                  <c:v>3.16</c:v>
                </c:pt>
                <c:pt idx="13">
                  <c:v>3.16</c:v>
                </c:pt>
                <c:pt idx="14">
                  <c:v>3.44</c:v>
                </c:pt>
                <c:pt idx="15">
                  <c:v>3.85</c:v>
                </c:pt>
                <c:pt idx="16">
                  <c:v>3.35</c:v>
                </c:pt>
                <c:pt idx="17">
                  <c:v>3.89</c:v>
                </c:pt>
                <c:pt idx="18">
                  <c:v>4.4400000000000004</c:v>
                </c:pt>
                <c:pt idx="19">
                  <c:v>1.46</c:v>
                </c:pt>
                <c:pt idx="20">
                  <c:v>2.5299999999999998</c:v>
                </c:pt>
                <c:pt idx="21">
                  <c:v>3.62</c:v>
                </c:pt>
                <c:pt idx="22">
                  <c:v>4.01</c:v>
                </c:pt>
                <c:pt idx="23">
                  <c:v>4.4800000000000004</c:v>
                </c:pt>
                <c:pt idx="24">
                  <c:v>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1-492B-96B8-68D387CD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18527"/>
        <c:axId val="1340418943"/>
      </c:lineChart>
      <c:catAx>
        <c:axId val="134041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0418943"/>
        <c:crosses val="autoZero"/>
        <c:auto val="1"/>
        <c:lblAlgn val="ctr"/>
        <c:lblOffset val="100"/>
        <c:noMultiLvlLbl val="0"/>
      </c:catAx>
      <c:valAx>
        <c:axId val="134041894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04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ajuste paillaco'!$H$65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'Ejemplo ajuste paillaco'!$H$66:$H$94</c:f>
              <c:numCache>
                <c:formatCode>General</c:formatCode>
                <c:ptCount val="29"/>
                <c:pt idx="0">
                  <c:v>0.92478583871683517</c:v>
                </c:pt>
                <c:pt idx="1">
                  <c:v>1.1374145114785661</c:v>
                </c:pt>
                <c:pt idx="2">
                  <c:v>1.2654853336904384</c:v>
                </c:pt>
                <c:pt idx="3">
                  <c:v>1.3543664161357607</c:v>
                </c:pt>
                <c:pt idx="4">
                  <c:v>1.4331680525906234</c:v>
                </c:pt>
                <c:pt idx="5">
                  <c:v>1.4501848215226483</c:v>
                </c:pt>
                <c:pt idx="6">
                  <c:v>1.6391341225766729</c:v>
                </c:pt>
                <c:pt idx="7">
                  <c:v>1.4098650587024275</c:v>
                </c:pt>
                <c:pt idx="8">
                  <c:v>1.1080399946572326</c:v>
                </c:pt>
                <c:pt idx="9">
                  <c:v>1.227511978075978</c:v>
                </c:pt>
                <c:pt idx="10">
                  <c:v>1.1259074597226899</c:v>
                </c:pt>
                <c:pt idx="11">
                  <c:v>1.3956348644862668</c:v>
                </c:pt>
                <c:pt idx="12">
                  <c:v>1.3354765125302654</c:v>
                </c:pt>
                <c:pt idx="13">
                  <c:v>1.2073557879597878</c:v>
                </c:pt>
                <c:pt idx="14">
                  <c:v>0.99425989109166046</c:v>
                </c:pt>
                <c:pt idx="15">
                  <c:v>0.93660408666373018</c:v>
                </c:pt>
                <c:pt idx="16">
                  <c:v>0.96472360565210602</c:v>
                </c:pt>
                <c:pt idx="17">
                  <c:v>1.0042240604167976</c:v>
                </c:pt>
                <c:pt idx="18">
                  <c:v>0.99870624979960954</c:v>
                </c:pt>
                <c:pt idx="19">
                  <c:v>1.162991792094854</c:v>
                </c:pt>
                <c:pt idx="20">
                  <c:v>1.5988318936023265</c:v>
                </c:pt>
                <c:pt idx="21">
                  <c:v>1.2114980308626178</c:v>
                </c:pt>
                <c:pt idx="22">
                  <c:v>1.1907451921011483</c:v>
                </c:pt>
                <c:pt idx="23">
                  <c:v>1.2257516442163969</c:v>
                </c:pt>
                <c:pt idx="24">
                  <c:v>1.2048429028217742</c:v>
                </c:pt>
                <c:pt idx="25">
                  <c:v>0.69812309994842614</c:v>
                </c:pt>
                <c:pt idx="26">
                  <c:v>0.61279339668504895</c:v>
                </c:pt>
                <c:pt idx="27">
                  <c:v>0.82778977171163448</c:v>
                </c:pt>
                <c:pt idx="28">
                  <c:v>0.53181920777647751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6-4158-9A56-C81246882679}"/>
            </c:ext>
          </c:extLst>
        </c:ser>
        <c:ser>
          <c:idx val="1"/>
          <c:order val="1"/>
          <c:tx>
            <c:strRef>
              <c:f>'Ejemplo ajuste paillaco'!$I$65</c:f>
              <c:strCache>
                <c:ptCount val="1"/>
                <c:pt idx="0">
                  <c:v>Estación Paillaco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'Ejemplo ajuste paillaco'!$I$66:$I$94</c:f>
              <c:numCache>
                <c:formatCode>General</c:formatCode>
                <c:ptCount val="29"/>
                <c:pt idx="0">
                  <c:v>0.9</c:v>
                </c:pt>
                <c:pt idx="1">
                  <c:v>1.06</c:v>
                </c:pt>
                <c:pt idx="2">
                  <c:v>1.5</c:v>
                </c:pt>
                <c:pt idx="3">
                  <c:v>1.05</c:v>
                </c:pt>
                <c:pt idx="4">
                  <c:v>0.97</c:v>
                </c:pt>
                <c:pt idx="5">
                  <c:v>0.81</c:v>
                </c:pt>
                <c:pt idx="6">
                  <c:v>0.94</c:v>
                </c:pt>
                <c:pt idx="7">
                  <c:v>0.85</c:v>
                </c:pt>
                <c:pt idx="8">
                  <c:v>0.81</c:v>
                </c:pt>
                <c:pt idx="9">
                  <c:v>0.97</c:v>
                </c:pt>
                <c:pt idx="10">
                  <c:v>1.04</c:v>
                </c:pt>
                <c:pt idx="11">
                  <c:v>1.2</c:v>
                </c:pt>
                <c:pt idx="12">
                  <c:v>1.47</c:v>
                </c:pt>
                <c:pt idx="13">
                  <c:v>1.25</c:v>
                </c:pt>
                <c:pt idx="14">
                  <c:v>1.17</c:v>
                </c:pt>
                <c:pt idx="15">
                  <c:v>0.8</c:v>
                </c:pt>
                <c:pt idx="16">
                  <c:v>0.97</c:v>
                </c:pt>
                <c:pt idx="17">
                  <c:v>0.85</c:v>
                </c:pt>
                <c:pt idx="18">
                  <c:v>0.81</c:v>
                </c:pt>
                <c:pt idx="19">
                  <c:v>0.66</c:v>
                </c:pt>
                <c:pt idx="20">
                  <c:v>2.59</c:v>
                </c:pt>
                <c:pt idx="21">
                  <c:v>4.53</c:v>
                </c:pt>
                <c:pt idx="22">
                  <c:v>1.24</c:v>
                </c:pt>
                <c:pt idx="23">
                  <c:v>1.46</c:v>
                </c:pt>
                <c:pt idx="24">
                  <c:v>1.18</c:v>
                </c:pt>
                <c:pt idx="25">
                  <c:v>0.76</c:v>
                </c:pt>
                <c:pt idx="26">
                  <c:v>0.73</c:v>
                </c:pt>
                <c:pt idx="27">
                  <c:v>0.95</c:v>
                </c:pt>
                <c:pt idx="2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6-4158-9A56-C81246882679}"/>
            </c:ext>
          </c:extLst>
        </c:ser>
        <c:ser>
          <c:idx val="2"/>
          <c:order val="2"/>
          <c:tx>
            <c:strRef>
              <c:f>'Ejemplo ajuste paillaco'!$J$65</c:f>
              <c:strCache>
                <c:ptCount val="1"/>
                <c:pt idx="0">
                  <c:v>Metodo Ajustado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'Ejemplo ajuste paillaco'!$J$66:$J$94</c:f>
              <c:numCache>
                <c:formatCode>General</c:formatCode>
                <c:ptCount val="29"/>
                <c:pt idx="0">
                  <c:v>0.83332350301956581</c:v>
                </c:pt>
                <c:pt idx="1">
                  <c:v>1.0136738118781505</c:v>
                </c:pt>
                <c:pt idx="2">
                  <c:v>1.1152958655161884</c:v>
                </c:pt>
                <c:pt idx="3">
                  <c:v>1.1802335912040203</c:v>
                </c:pt>
                <c:pt idx="4">
                  <c:v>1.2347293991549988</c:v>
                </c:pt>
                <c:pt idx="5">
                  <c:v>1.2350475128352223</c:v>
                </c:pt>
                <c:pt idx="6">
                  <c:v>1.3797546570260788</c:v>
                </c:pt>
                <c:pt idx="7">
                  <c:v>1.1728218125689425</c:v>
                </c:pt>
                <c:pt idx="8">
                  <c:v>1.2950217437556408</c:v>
                </c:pt>
                <c:pt idx="9">
                  <c:v>1.4173927371846058</c:v>
                </c:pt>
                <c:pt idx="10">
                  <c:v>1.2842381962461933</c:v>
                </c:pt>
                <c:pt idx="11">
                  <c:v>1.5722699020228099</c:v>
                </c:pt>
                <c:pt idx="12">
                  <c:v>1.48571762018992</c:v>
                </c:pt>
                <c:pt idx="13">
                  <c:v>1.3262048733370795</c:v>
                </c:pt>
                <c:pt idx="14">
                  <c:v>1.0781505694025193</c:v>
                </c:pt>
                <c:pt idx="15">
                  <c:v>1.0024590615072737</c:v>
                </c:pt>
                <c:pt idx="16">
                  <c:v>1.018989308470037</c:v>
                </c:pt>
                <c:pt idx="17">
                  <c:v>1.0465897629656313</c:v>
                </c:pt>
                <c:pt idx="18">
                  <c:v>1.0267948630752235</c:v>
                </c:pt>
                <c:pt idx="19">
                  <c:v>1.1793463641711879</c:v>
                </c:pt>
                <c:pt idx="20">
                  <c:v>1.5988318936023265</c:v>
                </c:pt>
                <c:pt idx="21">
                  <c:v>1.1944613398036124</c:v>
                </c:pt>
                <c:pt idx="22">
                  <c:v>1.1572554835733035</c:v>
                </c:pt>
                <c:pt idx="23">
                  <c:v>1.1740402467260176</c:v>
                </c:pt>
                <c:pt idx="24">
                  <c:v>1.1370704895380495</c:v>
                </c:pt>
                <c:pt idx="25">
                  <c:v>0.64903631948330243</c:v>
                </c:pt>
                <c:pt idx="26">
                  <c:v>0.56108895383974799</c:v>
                </c:pt>
                <c:pt idx="27">
                  <c:v>0.74630421605877051</c:v>
                </c:pt>
                <c:pt idx="28">
                  <c:v>0.47198954690162381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6-4158-9A56-C8124688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114319"/>
        <c:axId val="319114735"/>
      </c:lineChart>
      <c:catAx>
        <c:axId val="31911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114735"/>
        <c:crosses val="autoZero"/>
        <c:auto val="1"/>
        <c:lblAlgn val="ctr"/>
        <c:lblOffset val="100"/>
        <c:noMultiLvlLbl val="0"/>
      </c:catAx>
      <c:valAx>
        <c:axId val="31911473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Illapel!$H$1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Illapel!$H$2:$H$30</c:f>
              <c:numCache>
                <c:formatCode>General</c:formatCode>
                <c:ptCount val="29"/>
                <c:pt idx="0">
                  <c:v>3.1107595920650635</c:v>
                </c:pt>
                <c:pt idx="1">
                  <c:v>3.5124790291872205</c:v>
                </c:pt>
                <c:pt idx="2">
                  <c:v>2.896406572737467</c:v>
                </c:pt>
                <c:pt idx="3">
                  <c:v>2.8952800215939178</c:v>
                </c:pt>
                <c:pt idx="4">
                  <c:v>3.7568930442937991</c:v>
                </c:pt>
                <c:pt idx="5">
                  <c:v>3.2101700817262007</c:v>
                </c:pt>
                <c:pt idx="6">
                  <c:v>3.2054123539493644</c:v>
                </c:pt>
                <c:pt idx="7">
                  <c:v>3.1764009739722376</c:v>
                </c:pt>
                <c:pt idx="8">
                  <c:v>3.1090813300841131</c:v>
                </c:pt>
                <c:pt idx="9">
                  <c:v>3.3796813361655418</c:v>
                </c:pt>
                <c:pt idx="10">
                  <c:v>2.8918499400989846</c:v>
                </c:pt>
                <c:pt idx="11">
                  <c:v>2.5228105465325767</c:v>
                </c:pt>
                <c:pt idx="12">
                  <c:v>2.8844121372012879</c:v>
                </c:pt>
                <c:pt idx="13">
                  <c:v>1.9716125369534196</c:v>
                </c:pt>
                <c:pt idx="14">
                  <c:v>2.0986006045282646</c:v>
                </c:pt>
                <c:pt idx="15">
                  <c:v>3.2831828278410566</c:v>
                </c:pt>
                <c:pt idx="16">
                  <c:v>3.5325938564856272</c:v>
                </c:pt>
                <c:pt idx="17">
                  <c:v>2.5972482120159404</c:v>
                </c:pt>
                <c:pt idx="18">
                  <c:v>2.8558545101317745</c:v>
                </c:pt>
                <c:pt idx="19">
                  <c:v>2.9382680771792247</c:v>
                </c:pt>
                <c:pt idx="20">
                  <c:v>3.2279473314720453</c:v>
                </c:pt>
                <c:pt idx="21">
                  <c:v>2.7293394211250459</c:v>
                </c:pt>
                <c:pt idx="22">
                  <c:v>2.4677223559251553</c:v>
                </c:pt>
                <c:pt idx="23">
                  <c:v>2.5875338602864502</c:v>
                </c:pt>
                <c:pt idx="24">
                  <c:v>3.0636599075764259</c:v>
                </c:pt>
                <c:pt idx="25">
                  <c:v>2.663187997821558</c:v>
                </c:pt>
                <c:pt idx="26">
                  <c:v>2.6785461773444181</c:v>
                </c:pt>
                <c:pt idx="27">
                  <c:v>3.5687400571328949</c:v>
                </c:pt>
                <c:pt idx="28">
                  <c:v>2.943724834690634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D-43F3-8BD9-A3B71ACDE54D}"/>
            </c:ext>
          </c:extLst>
        </c:ser>
        <c:ser>
          <c:idx val="1"/>
          <c:order val="1"/>
          <c:tx>
            <c:strRef>
              <c:f>Illapel!$I$1</c:f>
              <c:strCache>
                <c:ptCount val="1"/>
                <c:pt idx="0">
                  <c:v>Estación Illapel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Illapel!$I$2:$I$30</c:f>
              <c:numCache>
                <c:formatCode>General</c:formatCode>
                <c:ptCount val="29"/>
                <c:pt idx="0">
                  <c:v>4.24</c:v>
                </c:pt>
                <c:pt idx="1">
                  <c:v>5.9</c:v>
                </c:pt>
                <c:pt idx="2">
                  <c:v>4.97</c:v>
                </c:pt>
                <c:pt idx="3">
                  <c:v>4.43</c:v>
                </c:pt>
                <c:pt idx="4">
                  <c:v>6.56</c:v>
                </c:pt>
                <c:pt idx="5">
                  <c:v>5.24</c:v>
                </c:pt>
                <c:pt idx="6">
                  <c:v>5.2</c:v>
                </c:pt>
                <c:pt idx="7">
                  <c:v>4.87</c:v>
                </c:pt>
                <c:pt idx="8">
                  <c:v>4.9800000000000004</c:v>
                </c:pt>
                <c:pt idx="9">
                  <c:v>7.43</c:v>
                </c:pt>
                <c:pt idx="10">
                  <c:v>4.96</c:v>
                </c:pt>
                <c:pt idx="11">
                  <c:v>3.93</c:v>
                </c:pt>
                <c:pt idx="12">
                  <c:v>3.69</c:v>
                </c:pt>
                <c:pt idx="13">
                  <c:v>2.98</c:v>
                </c:pt>
                <c:pt idx="14">
                  <c:v>2.5</c:v>
                </c:pt>
                <c:pt idx="15">
                  <c:v>5.15</c:v>
                </c:pt>
                <c:pt idx="16">
                  <c:v>6.87</c:v>
                </c:pt>
                <c:pt idx="17">
                  <c:v>3.9</c:v>
                </c:pt>
                <c:pt idx="18">
                  <c:v>4.7300000000000004</c:v>
                </c:pt>
                <c:pt idx="19">
                  <c:v>4.62</c:v>
                </c:pt>
                <c:pt idx="20">
                  <c:v>5.05</c:v>
                </c:pt>
                <c:pt idx="21">
                  <c:v>4.83</c:v>
                </c:pt>
                <c:pt idx="22">
                  <c:v>3.51</c:v>
                </c:pt>
                <c:pt idx="23">
                  <c:v>3.81</c:v>
                </c:pt>
                <c:pt idx="24">
                  <c:v>5.44</c:v>
                </c:pt>
                <c:pt idx="25">
                  <c:v>3.86</c:v>
                </c:pt>
                <c:pt idx="26">
                  <c:v>2.74</c:v>
                </c:pt>
                <c:pt idx="27">
                  <c:v>6.37</c:v>
                </c:pt>
                <c:pt idx="28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D-43F3-8BD9-A3B71ACDE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85648"/>
        <c:axId val="1413779408"/>
      </c:lineChart>
      <c:catAx>
        <c:axId val="14137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3779408"/>
        <c:crosses val="autoZero"/>
        <c:auto val="1"/>
        <c:lblAlgn val="ctr"/>
        <c:lblOffset val="100"/>
        <c:noMultiLvlLbl val="0"/>
      </c:catAx>
      <c:valAx>
        <c:axId val="1413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37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Coquimbo!$H$1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Coquimbo!$H$2:$H$30</c:f>
              <c:numCache>
                <c:formatCode>General</c:formatCode>
                <c:ptCount val="29"/>
                <c:pt idx="0">
                  <c:v>3.4472969079570159</c:v>
                </c:pt>
                <c:pt idx="1">
                  <c:v>4.1535120787960595</c:v>
                </c:pt>
                <c:pt idx="2">
                  <c:v>3.1590815449348759</c:v>
                </c:pt>
                <c:pt idx="3">
                  <c:v>3.7466554740068339</c:v>
                </c:pt>
                <c:pt idx="4">
                  <c:v>4.8689262081420033</c:v>
                </c:pt>
                <c:pt idx="5">
                  <c:v>3.4955923850074431</c:v>
                </c:pt>
                <c:pt idx="6">
                  <c:v>4.1548143538057136</c:v>
                </c:pt>
                <c:pt idx="7">
                  <c:v>4.1319437033979289</c:v>
                </c:pt>
                <c:pt idx="8">
                  <c:v>3.0177124719184554</c:v>
                </c:pt>
                <c:pt idx="9">
                  <c:v>3.3566278026648892</c:v>
                </c:pt>
                <c:pt idx="10">
                  <c:v>2.6264202468755071</c:v>
                </c:pt>
                <c:pt idx="11">
                  <c:v>2.9114134153473503</c:v>
                </c:pt>
                <c:pt idx="12">
                  <c:v>2.8173780665579606</c:v>
                </c:pt>
                <c:pt idx="13">
                  <c:v>2.0331546472407842</c:v>
                </c:pt>
                <c:pt idx="14">
                  <c:v>1.8184191403073162</c:v>
                </c:pt>
                <c:pt idx="15">
                  <c:v>3.2616299999999998</c:v>
                </c:pt>
                <c:pt idx="16">
                  <c:v>3.6017480847925216</c:v>
                </c:pt>
                <c:pt idx="17">
                  <c:v>2.7706698933714926</c:v>
                </c:pt>
                <c:pt idx="18">
                  <c:v>2.7492258870585005</c:v>
                </c:pt>
                <c:pt idx="19">
                  <c:v>2.6121866711579398</c:v>
                </c:pt>
                <c:pt idx="20">
                  <c:v>3.1163360973844907</c:v>
                </c:pt>
                <c:pt idx="21">
                  <c:v>2.6425679615757991</c:v>
                </c:pt>
                <c:pt idx="22">
                  <c:v>2.6772042414737665</c:v>
                </c:pt>
                <c:pt idx="23">
                  <c:v>2.9614799999999999</c:v>
                </c:pt>
                <c:pt idx="24">
                  <c:v>3.2828153007787191</c:v>
                </c:pt>
                <c:pt idx="25">
                  <c:v>2.2019933561621845</c:v>
                </c:pt>
                <c:pt idx="26">
                  <c:v>2.7561151059317162</c:v>
                </c:pt>
                <c:pt idx="27">
                  <c:v>3.2103603986513409</c:v>
                </c:pt>
                <c:pt idx="28">
                  <c:v>3.1380612402719414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727-996D-6340FD655FB4}"/>
            </c:ext>
          </c:extLst>
        </c:ser>
        <c:ser>
          <c:idx val="1"/>
          <c:order val="1"/>
          <c:tx>
            <c:strRef>
              <c:f>Coquimbo!$I$1</c:f>
              <c:strCache>
                <c:ptCount val="1"/>
                <c:pt idx="0">
                  <c:v>Estación Coquimbo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Coquimbo!$I$2:$I$30</c:f>
              <c:numCache>
                <c:formatCode>General</c:formatCode>
                <c:ptCount val="29"/>
                <c:pt idx="0">
                  <c:v>3.88</c:v>
                </c:pt>
                <c:pt idx="1">
                  <c:v>2.99</c:v>
                </c:pt>
                <c:pt idx="2">
                  <c:v>3.68</c:v>
                </c:pt>
                <c:pt idx="3">
                  <c:v>2.69</c:v>
                </c:pt>
                <c:pt idx="4">
                  <c:v>3.2</c:v>
                </c:pt>
                <c:pt idx="5">
                  <c:v>3.63</c:v>
                </c:pt>
                <c:pt idx="6">
                  <c:v>3.62</c:v>
                </c:pt>
                <c:pt idx="7">
                  <c:v>3.02</c:v>
                </c:pt>
                <c:pt idx="8">
                  <c:v>3.7</c:v>
                </c:pt>
                <c:pt idx="9">
                  <c:v>2.83</c:v>
                </c:pt>
                <c:pt idx="10">
                  <c:v>3.12</c:v>
                </c:pt>
                <c:pt idx="11">
                  <c:v>2.86</c:v>
                </c:pt>
                <c:pt idx="12">
                  <c:v>2.63</c:v>
                </c:pt>
                <c:pt idx="13">
                  <c:v>2.56</c:v>
                </c:pt>
                <c:pt idx="14">
                  <c:v>1.92</c:v>
                </c:pt>
                <c:pt idx="15">
                  <c:v>1.8</c:v>
                </c:pt>
                <c:pt idx="16">
                  <c:v>2.88</c:v>
                </c:pt>
                <c:pt idx="17">
                  <c:v>3.18</c:v>
                </c:pt>
                <c:pt idx="18">
                  <c:v>2.42</c:v>
                </c:pt>
                <c:pt idx="19">
                  <c:v>2.33</c:v>
                </c:pt>
                <c:pt idx="20">
                  <c:v>2.86</c:v>
                </c:pt>
                <c:pt idx="21">
                  <c:v>2.63</c:v>
                </c:pt>
                <c:pt idx="22">
                  <c:v>2.25</c:v>
                </c:pt>
                <c:pt idx="23">
                  <c:v>2.2000000000000002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2.12</c:v>
                </c:pt>
                <c:pt idx="27">
                  <c:v>1.72</c:v>
                </c:pt>
                <c:pt idx="28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E-4727-996D-6340FD65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564079"/>
        <c:axId val="1468569903"/>
      </c:lineChart>
      <c:catAx>
        <c:axId val="146856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8569903"/>
        <c:crosses val="autoZero"/>
        <c:auto val="1"/>
        <c:lblAlgn val="ctr"/>
        <c:lblOffset val="100"/>
        <c:noMultiLvlLbl val="0"/>
      </c:catAx>
      <c:valAx>
        <c:axId val="146856990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85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</a:t>
            </a:r>
            <a:r>
              <a:rPr lang="es-CL" baseline="0"/>
              <a:t>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ajuste Coquimbo'!$H$1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'Ejemplo ajuste Coquimbo'!$H$2:$H$30</c:f>
              <c:numCache>
                <c:formatCode>General</c:formatCode>
                <c:ptCount val="29"/>
                <c:pt idx="0">
                  <c:v>3.2485338429937283</c:v>
                </c:pt>
                <c:pt idx="1">
                  <c:v>3.8840950790903688</c:v>
                </c:pt>
                <c:pt idx="2">
                  <c:v>2.9313999921467766</c:v>
                </c:pt>
                <c:pt idx="3">
                  <c:v>3.4496233283198054</c:v>
                </c:pt>
                <c:pt idx="4">
                  <c:v>4.4478298874378304</c:v>
                </c:pt>
                <c:pt idx="5">
                  <c:v>3.1680774228085475</c:v>
                </c:pt>
                <c:pt idx="6">
                  <c:v>3.735589842430723</c:v>
                </c:pt>
                <c:pt idx="7">
                  <c:v>3.6852470868143694</c:v>
                </c:pt>
                <c:pt idx="8">
                  <c:v>3.406199594740142</c:v>
                </c:pt>
                <c:pt idx="9">
                  <c:v>3.757879861834025</c:v>
                </c:pt>
                <c:pt idx="10">
                  <c:v>2.9162321361859083</c:v>
                </c:pt>
                <c:pt idx="11">
                  <c:v>3.2059012090836339</c:v>
                </c:pt>
                <c:pt idx="12">
                  <c:v>3.076447314057543</c:v>
                </c:pt>
                <c:pt idx="13">
                  <c:v>2.2014157214951942</c:v>
                </c:pt>
                <c:pt idx="14">
                  <c:v>1.9521879046517623</c:v>
                </c:pt>
                <c:pt idx="15">
                  <c:v>3.4715739999999999</c:v>
                </c:pt>
                <c:pt idx="16">
                  <c:v>3.8004652205052127</c:v>
                </c:pt>
                <c:pt idx="17">
                  <c:v>2.8980570149058145</c:v>
                </c:pt>
                <c:pt idx="18">
                  <c:v>2.850346839226169</c:v>
                </c:pt>
                <c:pt idx="19">
                  <c:v>2.6842469931209174</c:v>
                </c:pt>
                <c:pt idx="20">
                  <c:v>3.1736480256122515</c:v>
                </c:pt>
                <c:pt idx="21">
                  <c:v>2.6668674370845422</c:v>
                </c:pt>
                <c:pt idx="22">
                  <c:v>2.6772042414737665</c:v>
                </c:pt>
                <c:pt idx="23">
                  <c:v>2.9614799999999999</c:v>
                </c:pt>
                <c:pt idx="24">
                  <c:v>3.2828153007787191</c:v>
                </c:pt>
                <c:pt idx="25">
                  <c:v>2.2019933561621845</c:v>
                </c:pt>
                <c:pt idx="26">
                  <c:v>2.7561151059317162</c:v>
                </c:pt>
                <c:pt idx="27">
                  <c:v>3.2103603986513409</c:v>
                </c:pt>
                <c:pt idx="28">
                  <c:v>3.1380612402719414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D-48C0-9961-021CBA845EF4}"/>
            </c:ext>
          </c:extLst>
        </c:ser>
        <c:ser>
          <c:idx val="1"/>
          <c:order val="1"/>
          <c:tx>
            <c:strRef>
              <c:f>'Ejemplo ajuste Coquimbo'!$I$1</c:f>
              <c:strCache>
                <c:ptCount val="1"/>
                <c:pt idx="0">
                  <c:v>Estación Coquimbo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'Ejemplo ajuste Coquimbo'!$I$2:$I$30</c:f>
              <c:numCache>
                <c:formatCode>General</c:formatCode>
                <c:ptCount val="29"/>
                <c:pt idx="0">
                  <c:v>3.88</c:v>
                </c:pt>
                <c:pt idx="1">
                  <c:v>2.99</c:v>
                </c:pt>
                <c:pt idx="2">
                  <c:v>3.68</c:v>
                </c:pt>
                <c:pt idx="3">
                  <c:v>2.69</c:v>
                </c:pt>
                <c:pt idx="4">
                  <c:v>3.2</c:v>
                </c:pt>
                <c:pt idx="5">
                  <c:v>3.63</c:v>
                </c:pt>
                <c:pt idx="6">
                  <c:v>3.62</c:v>
                </c:pt>
                <c:pt idx="7">
                  <c:v>3.02</c:v>
                </c:pt>
                <c:pt idx="8">
                  <c:v>3.7</c:v>
                </c:pt>
                <c:pt idx="9">
                  <c:v>2.83</c:v>
                </c:pt>
                <c:pt idx="10">
                  <c:v>3.12</c:v>
                </c:pt>
                <c:pt idx="11">
                  <c:v>2.86</c:v>
                </c:pt>
                <c:pt idx="12">
                  <c:v>2.63</c:v>
                </c:pt>
                <c:pt idx="13">
                  <c:v>2.56</c:v>
                </c:pt>
                <c:pt idx="14">
                  <c:v>1.92</c:v>
                </c:pt>
                <c:pt idx="15">
                  <c:v>1.8</c:v>
                </c:pt>
                <c:pt idx="16">
                  <c:v>2.88</c:v>
                </c:pt>
                <c:pt idx="17">
                  <c:v>3.18</c:v>
                </c:pt>
                <c:pt idx="18">
                  <c:v>2.42</c:v>
                </c:pt>
                <c:pt idx="19">
                  <c:v>2.33</c:v>
                </c:pt>
                <c:pt idx="20">
                  <c:v>2.86</c:v>
                </c:pt>
                <c:pt idx="21">
                  <c:v>2.63</c:v>
                </c:pt>
                <c:pt idx="22">
                  <c:v>2.25</c:v>
                </c:pt>
                <c:pt idx="23">
                  <c:v>2.2000000000000002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2.12</c:v>
                </c:pt>
                <c:pt idx="27">
                  <c:v>1.72</c:v>
                </c:pt>
                <c:pt idx="28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D-48C0-9961-021CBA84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89455"/>
        <c:axId val="1340790287"/>
      </c:lineChart>
      <c:catAx>
        <c:axId val="13407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0790287"/>
        <c:crosses val="autoZero"/>
        <c:auto val="1"/>
        <c:lblAlgn val="ctr"/>
        <c:lblOffset val="100"/>
        <c:noMultiLvlLbl val="0"/>
      </c:catAx>
      <c:valAx>
        <c:axId val="134079028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07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</a:t>
            </a:r>
            <a:r>
              <a:rPr lang="es-CL" baseline="0"/>
              <a:t> Et0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ajuste Coquimbo'!$H$72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'Ejemplo ajuste Coquimbo'!$H$73:$H$101</c:f>
              <c:numCache>
                <c:formatCode>General</c:formatCode>
                <c:ptCount val="29"/>
                <c:pt idx="0">
                  <c:v>3.4472969079570159</c:v>
                </c:pt>
                <c:pt idx="1">
                  <c:v>4.1535120787960595</c:v>
                </c:pt>
                <c:pt idx="2">
                  <c:v>3.1590815449348759</c:v>
                </c:pt>
                <c:pt idx="3">
                  <c:v>3.7466554740068339</c:v>
                </c:pt>
                <c:pt idx="4">
                  <c:v>4.8689262081420033</c:v>
                </c:pt>
                <c:pt idx="5">
                  <c:v>3.4955923850074431</c:v>
                </c:pt>
                <c:pt idx="6">
                  <c:v>4.1548143538057136</c:v>
                </c:pt>
                <c:pt idx="7">
                  <c:v>4.1319437033979289</c:v>
                </c:pt>
                <c:pt idx="8">
                  <c:v>3.0177124719184554</c:v>
                </c:pt>
                <c:pt idx="9">
                  <c:v>3.3566278026648892</c:v>
                </c:pt>
                <c:pt idx="10">
                  <c:v>2.6264202468755071</c:v>
                </c:pt>
                <c:pt idx="11">
                  <c:v>2.9114134153473503</c:v>
                </c:pt>
                <c:pt idx="12">
                  <c:v>2.8173780665579606</c:v>
                </c:pt>
                <c:pt idx="13">
                  <c:v>2.0331546472407842</c:v>
                </c:pt>
                <c:pt idx="14">
                  <c:v>1.8184191403073162</c:v>
                </c:pt>
                <c:pt idx="15">
                  <c:v>3.2616299999999998</c:v>
                </c:pt>
                <c:pt idx="16">
                  <c:v>3.6017480847925216</c:v>
                </c:pt>
                <c:pt idx="17">
                  <c:v>2.7706698933714926</c:v>
                </c:pt>
                <c:pt idx="18">
                  <c:v>2.7492258870585005</c:v>
                </c:pt>
                <c:pt idx="19">
                  <c:v>2.6121866711579398</c:v>
                </c:pt>
                <c:pt idx="20">
                  <c:v>3.1163360973844907</c:v>
                </c:pt>
                <c:pt idx="21">
                  <c:v>2.6425679615757991</c:v>
                </c:pt>
                <c:pt idx="22">
                  <c:v>2.6772042414737665</c:v>
                </c:pt>
                <c:pt idx="23">
                  <c:v>2.9614799999999999</c:v>
                </c:pt>
                <c:pt idx="24">
                  <c:v>3.2828153007787191</c:v>
                </c:pt>
                <c:pt idx="25">
                  <c:v>2.2019933561621845</c:v>
                </c:pt>
                <c:pt idx="26">
                  <c:v>2.7561151059317162</c:v>
                </c:pt>
                <c:pt idx="27">
                  <c:v>3.2103603986513409</c:v>
                </c:pt>
                <c:pt idx="28">
                  <c:v>3.1380612402719414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B98-81A9-B218130ED4C0}"/>
            </c:ext>
          </c:extLst>
        </c:ser>
        <c:ser>
          <c:idx val="1"/>
          <c:order val="1"/>
          <c:tx>
            <c:strRef>
              <c:f>'Ejemplo ajuste Coquimbo'!$I$72</c:f>
              <c:strCache>
                <c:ptCount val="1"/>
                <c:pt idx="0">
                  <c:v>Estación Coquimbo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'Ejemplo ajuste Coquimbo'!$I$73:$I$101</c:f>
              <c:numCache>
                <c:formatCode>General</c:formatCode>
                <c:ptCount val="29"/>
                <c:pt idx="0">
                  <c:v>3.88</c:v>
                </c:pt>
                <c:pt idx="1">
                  <c:v>2.99</c:v>
                </c:pt>
                <c:pt idx="2">
                  <c:v>3.68</c:v>
                </c:pt>
                <c:pt idx="3">
                  <c:v>2.69</c:v>
                </c:pt>
                <c:pt idx="4">
                  <c:v>3.2</c:v>
                </c:pt>
                <c:pt idx="5">
                  <c:v>3.63</c:v>
                </c:pt>
                <c:pt idx="6">
                  <c:v>3.62</c:v>
                </c:pt>
                <c:pt idx="7">
                  <c:v>3.02</c:v>
                </c:pt>
                <c:pt idx="8">
                  <c:v>3.7</c:v>
                </c:pt>
                <c:pt idx="9">
                  <c:v>2.83</c:v>
                </c:pt>
                <c:pt idx="10">
                  <c:v>3.12</c:v>
                </c:pt>
                <c:pt idx="11">
                  <c:v>2.86</c:v>
                </c:pt>
                <c:pt idx="12">
                  <c:v>2.63</c:v>
                </c:pt>
                <c:pt idx="13">
                  <c:v>2.56</c:v>
                </c:pt>
                <c:pt idx="14">
                  <c:v>1.92</c:v>
                </c:pt>
                <c:pt idx="15">
                  <c:v>1.8</c:v>
                </c:pt>
                <c:pt idx="16">
                  <c:v>2.88</c:v>
                </c:pt>
                <c:pt idx="17">
                  <c:v>3.18</c:v>
                </c:pt>
                <c:pt idx="18">
                  <c:v>2.42</c:v>
                </c:pt>
                <c:pt idx="19">
                  <c:v>2.33</c:v>
                </c:pt>
                <c:pt idx="20">
                  <c:v>2.86</c:v>
                </c:pt>
                <c:pt idx="21">
                  <c:v>2.63</c:v>
                </c:pt>
                <c:pt idx="22">
                  <c:v>2.25</c:v>
                </c:pt>
                <c:pt idx="23">
                  <c:v>2.2000000000000002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2.12</c:v>
                </c:pt>
                <c:pt idx="27">
                  <c:v>1.72</c:v>
                </c:pt>
                <c:pt idx="28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B98-81A9-B218130ED4C0}"/>
            </c:ext>
          </c:extLst>
        </c:ser>
        <c:ser>
          <c:idx val="2"/>
          <c:order val="2"/>
          <c:tx>
            <c:strRef>
              <c:f>'Ejemplo ajuste Coquimbo'!$J$72</c:f>
              <c:strCache>
                <c:ptCount val="1"/>
                <c:pt idx="0">
                  <c:v>Hargreaves Ajustado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'Ejemplo ajuste Coquimbo'!$J$73:$J$101</c:f>
              <c:numCache>
                <c:formatCode>General</c:formatCode>
                <c:ptCount val="29"/>
                <c:pt idx="0">
                  <c:v>3.2485338429937283</c:v>
                </c:pt>
                <c:pt idx="1">
                  <c:v>3.8840950790903688</c:v>
                </c:pt>
                <c:pt idx="2">
                  <c:v>2.9313999921467766</c:v>
                </c:pt>
                <c:pt idx="3">
                  <c:v>3.4496233283198054</c:v>
                </c:pt>
                <c:pt idx="4">
                  <c:v>4.4478298874378304</c:v>
                </c:pt>
                <c:pt idx="5">
                  <c:v>3.1680774228085475</c:v>
                </c:pt>
                <c:pt idx="6">
                  <c:v>3.735589842430723</c:v>
                </c:pt>
                <c:pt idx="7">
                  <c:v>3.6852470868143694</c:v>
                </c:pt>
                <c:pt idx="8">
                  <c:v>3.406199594740142</c:v>
                </c:pt>
                <c:pt idx="9">
                  <c:v>3.757879861834025</c:v>
                </c:pt>
                <c:pt idx="10">
                  <c:v>2.9162321361859083</c:v>
                </c:pt>
                <c:pt idx="11">
                  <c:v>3.2059012090836339</c:v>
                </c:pt>
                <c:pt idx="12">
                  <c:v>3.076447314057543</c:v>
                </c:pt>
                <c:pt idx="13">
                  <c:v>2.2014157214951942</c:v>
                </c:pt>
                <c:pt idx="14">
                  <c:v>1.9521879046517623</c:v>
                </c:pt>
                <c:pt idx="15">
                  <c:v>3.4715739999999999</c:v>
                </c:pt>
                <c:pt idx="16">
                  <c:v>3.8004652205052127</c:v>
                </c:pt>
                <c:pt idx="17">
                  <c:v>2.8980570149058145</c:v>
                </c:pt>
                <c:pt idx="18">
                  <c:v>2.850346839226169</c:v>
                </c:pt>
                <c:pt idx="19">
                  <c:v>2.6842469931209174</c:v>
                </c:pt>
                <c:pt idx="20">
                  <c:v>3.1736480256122515</c:v>
                </c:pt>
                <c:pt idx="21">
                  <c:v>2.6668674370845422</c:v>
                </c:pt>
                <c:pt idx="22">
                  <c:v>2.6772042414737665</c:v>
                </c:pt>
                <c:pt idx="23">
                  <c:v>2.9614799999999999</c:v>
                </c:pt>
                <c:pt idx="24">
                  <c:v>3.2828153007787191</c:v>
                </c:pt>
                <c:pt idx="25">
                  <c:v>2.2019933561621845</c:v>
                </c:pt>
                <c:pt idx="26">
                  <c:v>2.7561151059317162</c:v>
                </c:pt>
                <c:pt idx="27">
                  <c:v>3.2103603986513409</c:v>
                </c:pt>
                <c:pt idx="28">
                  <c:v>3.1380612402719414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1-4B98-81A9-B218130E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518671"/>
        <c:axId val="740512015"/>
      </c:lineChart>
      <c:catAx>
        <c:axId val="740518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512015"/>
        <c:crosses val="autoZero"/>
        <c:auto val="1"/>
        <c:lblAlgn val="ctr"/>
        <c:lblOffset val="100"/>
        <c:noMultiLvlLbl val="0"/>
      </c:catAx>
      <c:valAx>
        <c:axId val="740512015"/>
        <c:scaling>
          <c:orientation val="minMax"/>
          <c:max val="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405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Paillaco!$H$1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Paillaco!$H$2:$H$30</c:f>
              <c:numCache>
                <c:formatCode>General</c:formatCode>
                <c:ptCount val="29"/>
                <c:pt idx="0">
                  <c:v>0.92478583871683517</c:v>
                </c:pt>
                <c:pt idx="1">
                  <c:v>1.1374145114785661</c:v>
                </c:pt>
                <c:pt idx="2">
                  <c:v>1.2654853336904384</c:v>
                </c:pt>
                <c:pt idx="3">
                  <c:v>1.3543664161357607</c:v>
                </c:pt>
                <c:pt idx="4">
                  <c:v>1.4331680525906234</c:v>
                </c:pt>
                <c:pt idx="5">
                  <c:v>1.4501848215226483</c:v>
                </c:pt>
                <c:pt idx="6">
                  <c:v>1.6391341225766729</c:v>
                </c:pt>
                <c:pt idx="7">
                  <c:v>1.4098650587024275</c:v>
                </c:pt>
                <c:pt idx="8">
                  <c:v>1.1080399946572326</c:v>
                </c:pt>
                <c:pt idx="9">
                  <c:v>1.227511978075978</c:v>
                </c:pt>
                <c:pt idx="10">
                  <c:v>1.1259074597226899</c:v>
                </c:pt>
                <c:pt idx="11">
                  <c:v>1.3956348644862668</c:v>
                </c:pt>
                <c:pt idx="12">
                  <c:v>1.3354765125302654</c:v>
                </c:pt>
                <c:pt idx="13">
                  <c:v>1.2073557879597878</c:v>
                </c:pt>
                <c:pt idx="14">
                  <c:v>0.99425989109166046</c:v>
                </c:pt>
                <c:pt idx="15">
                  <c:v>0.93660408666373018</c:v>
                </c:pt>
                <c:pt idx="16">
                  <c:v>0.96472360565210602</c:v>
                </c:pt>
                <c:pt idx="17">
                  <c:v>1.0042240604167976</c:v>
                </c:pt>
                <c:pt idx="18">
                  <c:v>0.99870624979960954</c:v>
                </c:pt>
                <c:pt idx="19">
                  <c:v>1.162991792094854</c:v>
                </c:pt>
                <c:pt idx="20">
                  <c:v>1.5988318936023265</c:v>
                </c:pt>
                <c:pt idx="21">
                  <c:v>1.2114980308626178</c:v>
                </c:pt>
                <c:pt idx="22">
                  <c:v>1.1907451921011483</c:v>
                </c:pt>
                <c:pt idx="23">
                  <c:v>1.2257516442163969</c:v>
                </c:pt>
                <c:pt idx="24">
                  <c:v>1.2048429028217742</c:v>
                </c:pt>
                <c:pt idx="25">
                  <c:v>0.69812309994842614</c:v>
                </c:pt>
                <c:pt idx="26">
                  <c:v>0.61279339668504895</c:v>
                </c:pt>
                <c:pt idx="27">
                  <c:v>0.82778977171163448</c:v>
                </c:pt>
                <c:pt idx="28">
                  <c:v>0.53181920777647751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4B64-8A73-3BBAC2B2D74C}"/>
            </c:ext>
          </c:extLst>
        </c:ser>
        <c:ser>
          <c:idx val="1"/>
          <c:order val="1"/>
          <c:tx>
            <c:strRef>
              <c:f>Paillaco!$I$1</c:f>
              <c:strCache>
                <c:ptCount val="1"/>
                <c:pt idx="0">
                  <c:v>Estación Paillaco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Paillaco!$I$2:$I$30</c:f>
              <c:numCache>
                <c:formatCode>General</c:formatCode>
                <c:ptCount val="29"/>
                <c:pt idx="0">
                  <c:v>0.9</c:v>
                </c:pt>
                <c:pt idx="1">
                  <c:v>1.06</c:v>
                </c:pt>
                <c:pt idx="2">
                  <c:v>1.5</c:v>
                </c:pt>
                <c:pt idx="3">
                  <c:v>1.05</c:v>
                </c:pt>
                <c:pt idx="4">
                  <c:v>0.97</c:v>
                </c:pt>
                <c:pt idx="5">
                  <c:v>0.81</c:v>
                </c:pt>
                <c:pt idx="6">
                  <c:v>0.94</c:v>
                </c:pt>
                <c:pt idx="7">
                  <c:v>0.85</c:v>
                </c:pt>
                <c:pt idx="8">
                  <c:v>0.81</c:v>
                </c:pt>
                <c:pt idx="9">
                  <c:v>0.97</c:v>
                </c:pt>
                <c:pt idx="10">
                  <c:v>1.04</c:v>
                </c:pt>
                <c:pt idx="11">
                  <c:v>1.2</c:v>
                </c:pt>
                <c:pt idx="12">
                  <c:v>1.47</c:v>
                </c:pt>
                <c:pt idx="13">
                  <c:v>1.25</c:v>
                </c:pt>
                <c:pt idx="14">
                  <c:v>1.17</c:v>
                </c:pt>
                <c:pt idx="15">
                  <c:v>0.8</c:v>
                </c:pt>
                <c:pt idx="16">
                  <c:v>0.97</c:v>
                </c:pt>
                <c:pt idx="17">
                  <c:v>0.85</c:v>
                </c:pt>
                <c:pt idx="18">
                  <c:v>0.81</c:v>
                </c:pt>
                <c:pt idx="19">
                  <c:v>0.66</c:v>
                </c:pt>
                <c:pt idx="20">
                  <c:v>2.59</c:v>
                </c:pt>
                <c:pt idx="21">
                  <c:v>4.53</c:v>
                </c:pt>
                <c:pt idx="22">
                  <c:v>1.24</c:v>
                </c:pt>
                <c:pt idx="23">
                  <c:v>1.46</c:v>
                </c:pt>
                <c:pt idx="24">
                  <c:v>1.18</c:v>
                </c:pt>
                <c:pt idx="25">
                  <c:v>0.76</c:v>
                </c:pt>
                <c:pt idx="26">
                  <c:v>0.73</c:v>
                </c:pt>
                <c:pt idx="27">
                  <c:v>0.95</c:v>
                </c:pt>
                <c:pt idx="2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A-4B64-8A73-3BBAC2B2D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04287"/>
        <c:axId val="835505119"/>
      </c:lineChart>
      <c:catAx>
        <c:axId val="83550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5505119"/>
        <c:crosses val="autoZero"/>
        <c:auto val="1"/>
        <c:lblAlgn val="ctr"/>
        <c:lblOffset val="100"/>
        <c:noMultiLvlLbl val="0"/>
      </c:catAx>
      <c:valAx>
        <c:axId val="83550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55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Paillaco!$H$1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Paillaco!$H$2:$H$30</c:f>
              <c:numCache>
                <c:formatCode>General</c:formatCode>
                <c:ptCount val="29"/>
                <c:pt idx="0">
                  <c:v>0.92478583871683517</c:v>
                </c:pt>
                <c:pt idx="1">
                  <c:v>1.1374145114785661</c:v>
                </c:pt>
                <c:pt idx="2">
                  <c:v>1.2654853336904384</c:v>
                </c:pt>
                <c:pt idx="3">
                  <c:v>1.3543664161357607</c:v>
                </c:pt>
                <c:pt idx="4">
                  <c:v>1.4331680525906234</c:v>
                </c:pt>
                <c:pt idx="5">
                  <c:v>1.4501848215226483</c:v>
                </c:pt>
                <c:pt idx="6">
                  <c:v>1.6391341225766729</c:v>
                </c:pt>
                <c:pt idx="7">
                  <c:v>1.4098650587024275</c:v>
                </c:pt>
                <c:pt idx="8">
                  <c:v>1.1080399946572326</c:v>
                </c:pt>
                <c:pt idx="9">
                  <c:v>1.227511978075978</c:v>
                </c:pt>
                <c:pt idx="10">
                  <c:v>1.1259074597226899</c:v>
                </c:pt>
                <c:pt idx="11">
                  <c:v>1.3956348644862668</c:v>
                </c:pt>
                <c:pt idx="12">
                  <c:v>1.3354765125302654</c:v>
                </c:pt>
                <c:pt idx="13">
                  <c:v>1.2073557879597878</c:v>
                </c:pt>
                <c:pt idx="14">
                  <c:v>0.99425989109166046</c:v>
                </c:pt>
                <c:pt idx="15">
                  <c:v>0.93660408666373018</c:v>
                </c:pt>
                <c:pt idx="16">
                  <c:v>0.96472360565210602</c:v>
                </c:pt>
                <c:pt idx="17">
                  <c:v>1.0042240604167976</c:v>
                </c:pt>
                <c:pt idx="18">
                  <c:v>0.99870624979960954</c:v>
                </c:pt>
                <c:pt idx="19">
                  <c:v>1.162991792094854</c:v>
                </c:pt>
                <c:pt idx="20">
                  <c:v>1.5988318936023265</c:v>
                </c:pt>
                <c:pt idx="21">
                  <c:v>1.2114980308626178</c:v>
                </c:pt>
                <c:pt idx="22">
                  <c:v>1.1907451921011483</c:v>
                </c:pt>
                <c:pt idx="23">
                  <c:v>1.2257516442163969</c:v>
                </c:pt>
                <c:pt idx="24">
                  <c:v>1.2048429028217742</c:v>
                </c:pt>
                <c:pt idx="25">
                  <c:v>0.69812309994842614</c:v>
                </c:pt>
                <c:pt idx="26">
                  <c:v>0.61279339668504895</c:v>
                </c:pt>
                <c:pt idx="27">
                  <c:v>0.82778977171163448</c:v>
                </c:pt>
                <c:pt idx="28">
                  <c:v>0.53181920777647751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4DC2-9FED-3829D796A4D6}"/>
            </c:ext>
          </c:extLst>
        </c:ser>
        <c:ser>
          <c:idx val="1"/>
          <c:order val="1"/>
          <c:tx>
            <c:strRef>
              <c:f>Paillaco!$I$1</c:f>
              <c:strCache>
                <c:ptCount val="1"/>
                <c:pt idx="0">
                  <c:v>Estación Paillaco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Paillaco!$I$2:$I$30</c:f>
              <c:numCache>
                <c:formatCode>General</c:formatCode>
                <c:ptCount val="29"/>
                <c:pt idx="0">
                  <c:v>0.9</c:v>
                </c:pt>
                <c:pt idx="1">
                  <c:v>1.06</c:v>
                </c:pt>
                <c:pt idx="2">
                  <c:v>1.5</c:v>
                </c:pt>
                <c:pt idx="3">
                  <c:v>1.05</c:v>
                </c:pt>
                <c:pt idx="4">
                  <c:v>0.97</c:v>
                </c:pt>
                <c:pt idx="5">
                  <c:v>0.81</c:v>
                </c:pt>
                <c:pt idx="6">
                  <c:v>0.94</c:v>
                </c:pt>
                <c:pt idx="7">
                  <c:v>0.85</c:v>
                </c:pt>
                <c:pt idx="8">
                  <c:v>0.81</c:v>
                </c:pt>
                <c:pt idx="9">
                  <c:v>0.97</c:v>
                </c:pt>
                <c:pt idx="10">
                  <c:v>1.04</c:v>
                </c:pt>
                <c:pt idx="11">
                  <c:v>1.2</c:v>
                </c:pt>
                <c:pt idx="12">
                  <c:v>1.47</c:v>
                </c:pt>
                <c:pt idx="13">
                  <c:v>1.25</c:v>
                </c:pt>
                <c:pt idx="14">
                  <c:v>1.17</c:v>
                </c:pt>
                <c:pt idx="15">
                  <c:v>0.8</c:v>
                </c:pt>
                <c:pt idx="16">
                  <c:v>0.97</c:v>
                </c:pt>
                <c:pt idx="17">
                  <c:v>0.85</c:v>
                </c:pt>
                <c:pt idx="18">
                  <c:v>0.81</c:v>
                </c:pt>
                <c:pt idx="19">
                  <c:v>0.66</c:v>
                </c:pt>
                <c:pt idx="20">
                  <c:v>2.59</c:v>
                </c:pt>
                <c:pt idx="21">
                  <c:v>4.53</c:v>
                </c:pt>
                <c:pt idx="22">
                  <c:v>1.24</c:v>
                </c:pt>
                <c:pt idx="23">
                  <c:v>1.46</c:v>
                </c:pt>
                <c:pt idx="24">
                  <c:v>1.18</c:v>
                </c:pt>
                <c:pt idx="25">
                  <c:v>0.76</c:v>
                </c:pt>
                <c:pt idx="26">
                  <c:v>0.73</c:v>
                </c:pt>
                <c:pt idx="27">
                  <c:v>0.95</c:v>
                </c:pt>
                <c:pt idx="2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F-4DC2-9FED-3829D796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504287"/>
        <c:axId val="835505119"/>
      </c:lineChart>
      <c:catAx>
        <c:axId val="83550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5505119"/>
        <c:crosses val="autoZero"/>
        <c:auto val="1"/>
        <c:lblAlgn val="ctr"/>
        <c:lblOffset val="100"/>
        <c:noMultiLvlLbl val="0"/>
      </c:catAx>
      <c:valAx>
        <c:axId val="835505119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550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ajuste paillaco'!$H$1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'Ejemplo ajuste paillaco'!$H$2:$H$30</c:f>
              <c:numCache>
                <c:formatCode>General</c:formatCode>
                <c:ptCount val="29"/>
                <c:pt idx="0">
                  <c:v>0.83332350301956581</c:v>
                </c:pt>
                <c:pt idx="1">
                  <c:v>1.0136738118781505</c:v>
                </c:pt>
                <c:pt idx="2">
                  <c:v>1.1152958655161884</c:v>
                </c:pt>
                <c:pt idx="3">
                  <c:v>1.1802335912040203</c:v>
                </c:pt>
                <c:pt idx="4">
                  <c:v>1.2347293991549988</c:v>
                </c:pt>
                <c:pt idx="5">
                  <c:v>1.2350475128352223</c:v>
                </c:pt>
                <c:pt idx="6">
                  <c:v>1.3797546570260788</c:v>
                </c:pt>
                <c:pt idx="7">
                  <c:v>1.1728218125689425</c:v>
                </c:pt>
                <c:pt idx="8">
                  <c:v>1.2950217437556408</c:v>
                </c:pt>
                <c:pt idx="9">
                  <c:v>1.4173927371846058</c:v>
                </c:pt>
                <c:pt idx="10">
                  <c:v>1.2842381962461933</c:v>
                </c:pt>
                <c:pt idx="11">
                  <c:v>1.5722699020228099</c:v>
                </c:pt>
                <c:pt idx="12">
                  <c:v>1.48571762018992</c:v>
                </c:pt>
                <c:pt idx="13">
                  <c:v>1.3262048733370795</c:v>
                </c:pt>
                <c:pt idx="14">
                  <c:v>1.0781505694025193</c:v>
                </c:pt>
                <c:pt idx="15">
                  <c:v>1.0024590615072737</c:v>
                </c:pt>
                <c:pt idx="16">
                  <c:v>1.018989308470037</c:v>
                </c:pt>
                <c:pt idx="17">
                  <c:v>1.0465897629656313</c:v>
                </c:pt>
                <c:pt idx="18">
                  <c:v>1.0267948630752235</c:v>
                </c:pt>
                <c:pt idx="19">
                  <c:v>1.1793463641711879</c:v>
                </c:pt>
                <c:pt idx="20">
                  <c:v>1.5988318936023265</c:v>
                </c:pt>
                <c:pt idx="21">
                  <c:v>1.1944613398036124</c:v>
                </c:pt>
                <c:pt idx="22">
                  <c:v>1.1572554835733035</c:v>
                </c:pt>
                <c:pt idx="23">
                  <c:v>1.1740402467260176</c:v>
                </c:pt>
                <c:pt idx="24">
                  <c:v>1.1370704895380495</c:v>
                </c:pt>
                <c:pt idx="25">
                  <c:v>0.64903631948330243</c:v>
                </c:pt>
                <c:pt idx="26">
                  <c:v>0.56108895383974799</c:v>
                </c:pt>
                <c:pt idx="27">
                  <c:v>0.74630421605877051</c:v>
                </c:pt>
                <c:pt idx="28">
                  <c:v>0.47198954690162381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1E7-9E7F-3E48F0B39C0B}"/>
            </c:ext>
          </c:extLst>
        </c:ser>
        <c:ser>
          <c:idx val="1"/>
          <c:order val="1"/>
          <c:tx>
            <c:strRef>
              <c:f>'Ejemplo ajuste paillaco'!$I$1</c:f>
              <c:strCache>
                <c:ptCount val="1"/>
                <c:pt idx="0">
                  <c:v>Estación Paillaco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'Ejemplo ajuste paillaco'!$I$2:$I$30</c:f>
              <c:numCache>
                <c:formatCode>General</c:formatCode>
                <c:ptCount val="29"/>
                <c:pt idx="0">
                  <c:v>0.9</c:v>
                </c:pt>
                <c:pt idx="1">
                  <c:v>1.06</c:v>
                </c:pt>
                <c:pt idx="2">
                  <c:v>1.5</c:v>
                </c:pt>
                <c:pt idx="3">
                  <c:v>1.05</c:v>
                </c:pt>
                <c:pt idx="4">
                  <c:v>0.97</c:v>
                </c:pt>
                <c:pt idx="5">
                  <c:v>0.81</c:v>
                </c:pt>
                <c:pt idx="6">
                  <c:v>0.94</c:v>
                </c:pt>
                <c:pt idx="7">
                  <c:v>0.85</c:v>
                </c:pt>
                <c:pt idx="8">
                  <c:v>0.81</c:v>
                </c:pt>
                <c:pt idx="9">
                  <c:v>0.97</c:v>
                </c:pt>
                <c:pt idx="10">
                  <c:v>1.04</c:v>
                </c:pt>
                <c:pt idx="11">
                  <c:v>1.2</c:v>
                </c:pt>
                <c:pt idx="12">
                  <c:v>1.47</c:v>
                </c:pt>
                <c:pt idx="13">
                  <c:v>1.25</c:v>
                </c:pt>
                <c:pt idx="14">
                  <c:v>1.17</c:v>
                </c:pt>
                <c:pt idx="15">
                  <c:v>0.8</c:v>
                </c:pt>
                <c:pt idx="16">
                  <c:v>0.97</c:v>
                </c:pt>
                <c:pt idx="17">
                  <c:v>0.85</c:v>
                </c:pt>
                <c:pt idx="18">
                  <c:v>0.81</c:v>
                </c:pt>
                <c:pt idx="19">
                  <c:v>0.66</c:v>
                </c:pt>
                <c:pt idx="20">
                  <c:v>2.59</c:v>
                </c:pt>
                <c:pt idx="21">
                  <c:v>4.53</c:v>
                </c:pt>
                <c:pt idx="22">
                  <c:v>1.24</c:v>
                </c:pt>
                <c:pt idx="23">
                  <c:v>1.46</c:v>
                </c:pt>
                <c:pt idx="24">
                  <c:v>1.18</c:v>
                </c:pt>
                <c:pt idx="25">
                  <c:v>0.76</c:v>
                </c:pt>
                <c:pt idx="26">
                  <c:v>0.73</c:v>
                </c:pt>
                <c:pt idx="27">
                  <c:v>0.95</c:v>
                </c:pt>
                <c:pt idx="2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1E7-9E7F-3E48F0B3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30927"/>
        <c:axId val="882014287"/>
      </c:lineChart>
      <c:catAx>
        <c:axId val="88203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2014287"/>
        <c:crosses val="autoZero"/>
        <c:auto val="1"/>
        <c:lblAlgn val="ctr"/>
        <c:lblOffset val="100"/>
        <c:noMultiLvlLbl val="0"/>
      </c:catAx>
      <c:valAx>
        <c:axId val="882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2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Comparación</a:t>
            </a:r>
            <a:r>
              <a:rPr lang="es-CL" baseline="0"/>
              <a:t> Et0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 ajuste paillaco'!$H$1</c:f>
              <c:strCache>
                <c:ptCount val="1"/>
                <c:pt idx="0">
                  <c:v>Metodo Hargreaves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'Ejemplo ajuste paillaco'!$H$2:$H$30</c:f>
              <c:numCache>
                <c:formatCode>General</c:formatCode>
                <c:ptCount val="29"/>
                <c:pt idx="0">
                  <c:v>0.83332350301956581</c:v>
                </c:pt>
                <c:pt idx="1">
                  <c:v>1.0136738118781505</c:v>
                </c:pt>
                <c:pt idx="2">
                  <c:v>1.1152958655161884</c:v>
                </c:pt>
                <c:pt idx="3">
                  <c:v>1.1802335912040203</c:v>
                </c:pt>
                <c:pt idx="4">
                  <c:v>1.2347293991549988</c:v>
                </c:pt>
                <c:pt idx="5">
                  <c:v>1.2350475128352223</c:v>
                </c:pt>
                <c:pt idx="6">
                  <c:v>1.3797546570260788</c:v>
                </c:pt>
                <c:pt idx="7">
                  <c:v>1.1728218125689425</c:v>
                </c:pt>
                <c:pt idx="8">
                  <c:v>1.2950217437556408</c:v>
                </c:pt>
                <c:pt idx="9">
                  <c:v>1.4173927371846058</c:v>
                </c:pt>
                <c:pt idx="10">
                  <c:v>1.2842381962461933</c:v>
                </c:pt>
                <c:pt idx="11">
                  <c:v>1.5722699020228099</c:v>
                </c:pt>
                <c:pt idx="12">
                  <c:v>1.48571762018992</c:v>
                </c:pt>
                <c:pt idx="13">
                  <c:v>1.3262048733370795</c:v>
                </c:pt>
                <c:pt idx="14">
                  <c:v>1.0781505694025193</c:v>
                </c:pt>
                <c:pt idx="15">
                  <c:v>1.0024590615072737</c:v>
                </c:pt>
                <c:pt idx="16">
                  <c:v>1.018989308470037</c:v>
                </c:pt>
                <c:pt idx="17">
                  <c:v>1.0465897629656313</c:v>
                </c:pt>
                <c:pt idx="18">
                  <c:v>1.0267948630752235</c:v>
                </c:pt>
                <c:pt idx="19">
                  <c:v>1.1793463641711879</c:v>
                </c:pt>
                <c:pt idx="20">
                  <c:v>1.5988318936023265</c:v>
                </c:pt>
                <c:pt idx="21">
                  <c:v>1.1944613398036124</c:v>
                </c:pt>
                <c:pt idx="22">
                  <c:v>1.1572554835733035</c:v>
                </c:pt>
                <c:pt idx="23">
                  <c:v>1.1740402467260176</c:v>
                </c:pt>
                <c:pt idx="24">
                  <c:v>1.1370704895380495</c:v>
                </c:pt>
                <c:pt idx="25">
                  <c:v>0.64903631948330243</c:v>
                </c:pt>
                <c:pt idx="26">
                  <c:v>0.56108895383974799</c:v>
                </c:pt>
                <c:pt idx="27">
                  <c:v>0.74630421605877051</c:v>
                </c:pt>
                <c:pt idx="28">
                  <c:v>0.47198954690162381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2-48C2-BA90-6E9E933C4501}"/>
            </c:ext>
          </c:extLst>
        </c:ser>
        <c:ser>
          <c:idx val="1"/>
          <c:order val="1"/>
          <c:tx>
            <c:strRef>
              <c:f>'Ejemplo ajuste paillaco'!$I$1</c:f>
              <c:strCache>
                <c:ptCount val="1"/>
                <c:pt idx="0">
                  <c:v>Estación Paillaco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'Ejemplo ajuste paillaco'!$I$2:$I$30</c:f>
              <c:numCache>
                <c:formatCode>General</c:formatCode>
                <c:ptCount val="29"/>
                <c:pt idx="0">
                  <c:v>0.9</c:v>
                </c:pt>
                <c:pt idx="1">
                  <c:v>1.06</c:v>
                </c:pt>
                <c:pt idx="2">
                  <c:v>1.5</c:v>
                </c:pt>
                <c:pt idx="3">
                  <c:v>1.05</c:v>
                </c:pt>
                <c:pt idx="4">
                  <c:v>0.97</c:v>
                </c:pt>
                <c:pt idx="5">
                  <c:v>0.81</c:v>
                </c:pt>
                <c:pt idx="6">
                  <c:v>0.94</c:v>
                </c:pt>
                <c:pt idx="7">
                  <c:v>0.85</c:v>
                </c:pt>
                <c:pt idx="8">
                  <c:v>0.81</c:v>
                </c:pt>
                <c:pt idx="9">
                  <c:v>0.97</c:v>
                </c:pt>
                <c:pt idx="10">
                  <c:v>1.04</c:v>
                </c:pt>
                <c:pt idx="11">
                  <c:v>1.2</c:v>
                </c:pt>
                <c:pt idx="12">
                  <c:v>1.47</c:v>
                </c:pt>
                <c:pt idx="13">
                  <c:v>1.25</c:v>
                </c:pt>
                <c:pt idx="14">
                  <c:v>1.17</c:v>
                </c:pt>
                <c:pt idx="15">
                  <c:v>0.8</c:v>
                </c:pt>
                <c:pt idx="16">
                  <c:v>0.97</c:v>
                </c:pt>
                <c:pt idx="17">
                  <c:v>0.85</c:v>
                </c:pt>
                <c:pt idx="18">
                  <c:v>0.81</c:v>
                </c:pt>
                <c:pt idx="19">
                  <c:v>0.66</c:v>
                </c:pt>
                <c:pt idx="20">
                  <c:v>2.59</c:v>
                </c:pt>
                <c:pt idx="21">
                  <c:v>4.53</c:v>
                </c:pt>
                <c:pt idx="22">
                  <c:v>1.24</c:v>
                </c:pt>
                <c:pt idx="23">
                  <c:v>1.46</c:v>
                </c:pt>
                <c:pt idx="24">
                  <c:v>1.18</c:v>
                </c:pt>
                <c:pt idx="25">
                  <c:v>0.76</c:v>
                </c:pt>
                <c:pt idx="26">
                  <c:v>0.73</c:v>
                </c:pt>
                <c:pt idx="27">
                  <c:v>0.95</c:v>
                </c:pt>
                <c:pt idx="28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2-48C2-BA90-6E9E933C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367039"/>
        <c:axId val="1043370367"/>
      </c:lineChart>
      <c:catAx>
        <c:axId val="104336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3370367"/>
        <c:crosses val="autoZero"/>
        <c:auto val="1"/>
        <c:lblAlgn val="ctr"/>
        <c:lblOffset val="100"/>
        <c:noMultiLvlLbl val="0"/>
      </c:catAx>
      <c:valAx>
        <c:axId val="104337036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336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271462</xdr:colOff>
      <xdr:row>7</xdr:row>
      <xdr:rowOff>23812</xdr:rowOff>
    </xdr:from>
    <xdr:to>
      <xdr:col>20</xdr:col>
      <xdr:colOff>271462</xdr:colOff>
      <xdr:row>21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B7DDE-273A-191C-F2F8-5FE1EA9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385762</xdr:colOff>
      <xdr:row>3</xdr:row>
      <xdr:rowOff>33337</xdr:rowOff>
    </xdr:from>
    <xdr:to>
      <xdr:col>19</xdr:col>
      <xdr:colOff>385762</xdr:colOff>
      <xdr:row>17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2C852D-D2E1-1B3C-8907-98F4A15E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195262</xdr:colOff>
      <xdr:row>9</xdr:row>
      <xdr:rowOff>138112</xdr:rowOff>
    </xdr:from>
    <xdr:to>
      <xdr:col>19</xdr:col>
      <xdr:colOff>195262</xdr:colOff>
      <xdr:row>24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D7F9AB-A70C-2B6B-F6D2-953FDA20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8</xdr:row>
      <xdr:rowOff>128587</xdr:rowOff>
    </xdr:from>
    <xdr:to>
      <xdr:col>19</xdr:col>
      <xdr:colOff>476250</xdr:colOff>
      <xdr:row>23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3286B0-CFFE-B392-7482-1CEB9729F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74</xdr:row>
      <xdr:rowOff>119062</xdr:rowOff>
    </xdr:from>
    <xdr:to>
      <xdr:col>15</xdr:col>
      <xdr:colOff>509587</xdr:colOff>
      <xdr:row>91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C7128-FCBF-58E7-8D00-4415D2A8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657225</xdr:colOff>
      <xdr:row>1</xdr:row>
      <xdr:rowOff>90487</xdr:rowOff>
    </xdr:from>
    <xdr:to>
      <xdr:col>19</xdr:col>
      <xdr:colOff>657225</xdr:colOff>
      <xdr:row>15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5161F-472D-C30F-4B8C-A1A410574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657225</xdr:colOff>
      <xdr:row>16</xdr:row>
      <xdr:rowOff>123825</xdr:rowOff>
    </xdr:from>
    <xdr:to>
      <xdr:col>19</xdr:col>
      <xdr:colOff>657225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295E8A-279D-47AB-88EE-63D35630A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633412</xdr:colOff>
      <xdr:row>1</xdr:row>
      <xdr:rowOff>33337</xdr:rowOff>
    </xdr:from>
    <xdr:to>
      <xdr:col>19</xdr:col>
      <xdr:colOff>633412</xdr:colOff>
      <xdr:row>15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51536B-F87C-6DA3-62C0-22C957AD0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16</xdr:row>
      <xdr:rowOff>138112</xdr:rowOff>
    </xdr:from>
    <xdr:to>
      <xdr:col>19</xdr:col>
      <xdr:colOff>576262</xdr:colOff>
      <xdr:row>31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377449-9504-4FF6-7272-3BC238A7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733424</xdr:colOff>
      <xdr:row>64</xdr:row>
      <xdr:rowOff>19050</xdr:rowOff>
    </xdr:from>
    <xdr:to>
      <xdr:col>16</xdr:col>
      <xdr:colOff>85724</xdr:colOff>
      <xdr:row>80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078892-96AB-2938-EAD4-0B7D1E1B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groclima.cl/InformesAgroclima/InformesAgroclimaticos.aspx?IdEst=157&amp;Infor=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1251-04D6-4613-9B15-F2D4E425FD49}">
  <dimension ref="A1:E15"/>
  <sheetViews>
    <sheetView workbookViewId="0">
      <selection activeCell="B31" sqref="B31"/>
    </sheetView>
  </sheetViews>
  <sheetFormatPr baseColWidth="10" defaultRowHeight="15" x14ac:dyDescent="0.25"/>
  <cols>
    <col min="1" max="1" width="8.42578125" bestFit="1" customWidth="1"/>
    <col min="2" max="2" width="37" bestFit="1" customWidth="1"/>
    <col min="5" max="5" width="63" customWidth="1"/>
  </cols>
  <sheetData>
    <row r="1" spans="1:5" x14ac:dyDescent="0.25">
      <c r="A1" s="3" t="s">
        <v>54</v>
      </c>
      <c r="B1" s="5" t="s">
        <v>43</v>
      </c>
      <c r="C1" s="241" t="s">
        <v>50</v>
      </c>
      <c r="D1" s="242"/>
      <c r="E1" s="243"/>
    </row>
    <row r="2" spans="1:5" x14ac:dyDescent="0.25">
      <c r="A2" s="3" t="s">
        <v>55</v>
      </c>
      <c r="B2" s="3" t="s">
        <v>44</v>
      </c>
      <c r="C2" s="241" t="s">
        <v>51</v>
      </c>
      <c r="D2" s="242"/>
      <c r="E2" s="243"/>
    </row>
    <row r="3" spans="1:5" x14ac:dyDescent="0.25">
      <c r="A3" s="3" t="s">
        <v>55</v>
      </c>
      <c r="B3" s="3" t="s">
        <v>31</v>
      </c>
      <c r="C3" s="241" t="s">
        <v>52</v>
      </c>
      <c r="D3" s="242"/>
      <c r="E3" s="243"/>
    </row>
    <row r="4" spans="1:5" x14ac:dyDescent="0.25">
      <c r="A4" s="3" t="s">
        <v>55</v>
      </c>
      <c r="B4" s="3" t="s">
        <v>33</v>
      </c>
      <c r="C4" s="241" t="s">
        <v>53</v>
      </c>
      <c r="D4" s="242"/>
      <c r="E4" s="243"/>
    </row>
    <row r="5" spans="1:5" x14ac:dyDescent="0.25">
      <c r="A5" s="3" t="s">
        <v>55</v>
      </c>
      <c r="B5" s="3" t="s">
        <v>32</v>
      </c>
      <c r="C5" s="241" t="s">
        <v>53</v>
      </c>
      <c r="D5" s="242"/>
      <c r="E5" s="243"/>
    </row>
    <row r="6" spans="1:5" x14ac:dyDescent="0.25">
      <c r="A6" s="3" t="s">
        <v>56</v>
      </c>
      <c r="B6" s="3" t="s">
        <v>45</v>
      </c>
      <c r="C6" s="241" t="s">
        <v>57</v>
      </c>
      <c r="D6" s="242"/>
      <c r="E6" s="243"/>
    </row>
    <row r="7" spans="1:5" x14ac:dyDescent="0.25">
      <c r="A7" s="3" t="s">
        <v>56</v>
      </c>
      <c r="B7" s="3" t="s">
        <v>46</v>
      </c>
      <c r="C7" s="241" t="s">
        <v>57</v>
      </c>
      <c r="D7" s="242"/>
      <c r="E7" s="243"/>
    </row>
    <row r="8" spans="1:5" x14ac:dyDescent="0.25">
      <c r="A8" s="241"/>
      <c r="B8" s="242"/>
      <c r="C8" s="242"/>
      <c r="D8" s="242"/>
      <c r="E8" s="243"/>
    </row>
    <row r="9" spans="1:5" x14ac:dyDescent="0.25">
      <c r="A9" s="3" t="s">
        <v>55</v>
      </c>
      <c r="B9" s="3" t="s">
        <v>47</v>
      </c>
      <c r="C9" s="244" t="s">
        <v>58</v>
      </c>
      <c r="D9" s="245"/>
      <c r="E9" s="246"/>
    </row>
    <row r="10" spans="1:5" x14ac:dyDescent="0.25">
      <c r="A10" s="3" t="s">
        <v>55</v>
      </c>
      <c r="B10" s="3" t="s">
        <v>48</v>
      </c>
      <c r="C10" s="247"/>
      <c r="D10" s="248"/>
      <c r="E10" s="249"/>
    </row>
    <row r="11" spans="1:5" x14ac:dyDescent="0.25">
      <c r="A11" s="3" t="s">
        <v>55</v>
      </c>
      <c r="B11" s="3" t="s">
        <v>49</v>
      </c>
      <c r="C11" s="250"/>
      <c r="D11" s="251"/>
      <c r="E11" s="252"/>
    </row>
    <row r="13" spans="1:5" x14ac:dyDescent="0.25">
      <c r="A13" s="253" t="s">
        <v>55</v>
      </c>
      <c r="B13" s="256" t="s">
        <v>59</v>
      </c>
      <c r="C13" s="244" t="s">
        <v>58</v>
      </c>
      <c r="D13" s="245"/>
      <c r="E13" s="246"/>
    </row>
    <row r="14" spans="1:5" x14ac:dyDescent="0.25">
      <c r="A14" s="254"/>
      <c r="B14" s="257"/>
      <c r="C14" s="247"/>
      <c r="D14" s="248"/>
      <c r="E14" s="249"/>
    </row>
    <row r="15" spans="1:5" x14ac:dyDescent="0.25">
      <c r="A15" s="255"/>
      <c r="B15" s="258"/>
      <c r="C15" s="250"/>
      <c r="D15" s="251"/>
      <c r="E15" s="252"/>
    </row>
  </sheetData>
  <mergeCells count="12">
    <mergeCell ref="C13:E15"/>
    <mergeCell ref="A13:A15"/>
    <mergeCell ref="B13:B15"/>
    <mergeCell ref="C6:E6"/>
    <mergeCell ref="C7:E7"/>
    <mergeCell ref="A8:E8"/>
    <mergeCell ref="C9:E11"/>
    <mergeCell ref="C2:E2"/>
    <mergeCell ref="C1:E1"/>
    <mergeCell ref="C3:E3"/>
    <mergeCell ref="C4:E4"/>
    <mergeCell ref="C5:E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0C3BF-120C-4BA0-9D5C-96FC627A0FA2}">
  <dimension ref="A1:N43"/>
  <sheetViews>
    <sheetView workbookViewId="0">
      <selection activeCell="L16" sqref="L16"/>
    </sheetView>
  </sheetViews>
  <sheetFormatPr baseColWidth="10" defaultRowHeight="15" x14ac:dyDescent="0.25"/>
  <cols>
    <col min="9" max="9" width="35.140625" customWidth="1"/>
    <col min="11" max="11" width="46.28515625" bestFit="1" customWidth="1"/>
  </cols>
  <sheetData>
    <row r="1" spans="1:14" x14ac:dyDescent="0.25">
      <c r="A1" s="82"/>
      <c r="B1" s="82"/>
      <c r="C1" s="82"/>
      <c r="D1" s="82"/>
      <c r="E1" s="82"/>
      <c r="F1" s="82"/>
      <c r="G1" s="82"/>
      <c r="H1" s="82"/>
      <c r="I1" s="85" t="s">
        <v>131</v>
      </c>
      <c r="J1" s="82"/>
    </row>
    <row r="2" spans="1:14" x14ac:dyDescent="0.25">
      <c r="A2" s="82" t="s">
        <v>175</v>
      </c>
      <c r="B2" s="82" t="s">
        <v>12</v>
      </c>
      <c r="C2" s="82" t="s">
        <v>176</v>
      </c>
      <c r="D2" s="82" t="s">
        <v>177</v>
      </c>
      <c r="E2" s="82" t="s">
        <v>133</v>
      </c>
      <c r="F2" s="82" t="s">
        <v>31</v>
      </c>
      <c r="G2" s="82" t="s">
        <v>178</v>
      </c>
      <c r="H2" s="82" t="s">
        <v>17</v>
      </c>
      <c r="I2" s="82" t="s">
        <v>179</v>
      </c>
      <c r="J2" s="82" t="s">
        <v>180</v>
      </c>
      <c r="N2" t="s">
        <v>130</v>
      </c>
    </row>
    <row r="3" spans="1:14" x14ac:dyDescent="0.25">
      <c r="A3" s="16">
        <v>1</v>
      </c>
      <c r="B3" s="16" t="s">
        <v>9</v>
      </c>
      <c r="C3" s="83">
        <v>20</v>
      </c>
      <c r="D3" s="83">
        <v>5</v>
      </c>
      <c r="E3" s="83">
        <v>13</v>
      </c>
      <c r="F3" s="17">
        <v>-34</v>
      </c>
      <c r="G3" s="16">
        <v>15</v>
      </c>
      <c r="H3" s="16">
        <f t="shared" ref="H3:H9" si="0">0.0023*(E3+16)*G3*(C3-D3)^0.5</f>
        <v>3.8749198378805203</v>
      </c>
      <c r="I3" s="15">
        <v>3.43</v>
      </c>
      <c r="J3" s="18">
        <f>(H3/I3)-1</f>
        <v>0.12971423844913121</v>
      </c>
    </row>
    <row r="4" spans="1:14" x14ac:dyDescent="0.25">
      <c r="A4" s="16">
        <v>2</v>
      </c>
      <c r="B4" s="16" t="s">
        <v>9</v>
      </c>
      <c r="C4" s="83">
        <v>15</v>
      </c>
      <c r="D4" s="83">
        <v>6</v>
      </c>
      <c r="E4" s="83">
        <v>11</v>
      </c>
      <c r="F4" s="17">
        <v>-34</v>
      </c>
      <c r="G4" s="16">
        <v>15</v>
      </c>
      <c r="H4" s="16">
        <f t="shared" si="0"/>
        <v>2.7945000000000002</v>
      </c>
      <c r="I4" s="15">
        <v>2.92</v>
      </c>
      <c r="J4" s="18">
        <f t="shared" ref="J4:J10" si="1">(H4/I4)-1</f>
        <v>-4.2979452054794476E-2</v>
      </c>
    </row>
    <row r="5" spans="1:14" x14ac:dyDescent="0.25">
      <c r="A5" s="16">
        <v>3</v>
      </c>
      <c r="B5" s="16" t="s">
        <v>9</v>
      </c>
      <c r="C5" s="83">
        <v>18</v>
      </c>
      <c r="D5" s="83">
        <v>3</v>
      </c>
      <c r="E5" s="83">
        <v>9</v>
      </c>
      <c r="F5" s="17">
        <v>-34</v>
      </c>
      <c r="G5" s="16">
        <v>15</v>
      </c>
      <c r="H5" s="16">
        <f t="shared" si="0"/>
        <v>3.3404481361038969</v>
      </c>
      <c r="I5" s="15">
        <v>2.77</v>
      </c>
      <c r="J5" s="18">
        <f t="shared" si="1"/>
        <v>0.20593795527216496</v>
      </c>
    </row>
    <row r="6" spans="1:14" x14ac:dyDescent="0.25">
      <c r="A6" s="16">
        <v>4</v>
      </c>
      <c r="B6" s="16" t="s">
        <v>9</v>
      </c>
      <c r="C6" s="83">
        <v>18</v>
      </c>
      <c r="D6" s="83">
        <v>5</v>
      </c>
      <c r="E6" s="83">
        <v>10</v>
      </c>
      <c r="F6" s="17">
        <v>-34</v>
      </c>
      <c r="G6" s="16">
        <v>15</v>
      </c>
      <c r="H6" s="16">
        <f t="shared" si="0"/>
        <v>3.2341794940911983</v>
      </c>
      <c r="I6" s="15">
        <v>2.54</v>
      </c>
      <c r="J6" s="18">
        <f t="shared" si="1"/>
        <v>0.27329901342173168</v>
      </c>
    </row>
    <row r="7" spans="1:14" x14ac:dyDescent="0.25">
      <c r="A7" s="16">
        <v>5</v>
      </c>
      <c r="B7" s="81" t="s">
        <v>9</v>
      </c>
      <c r="C7" s="83">
        <v>20</v>
      </c>
      <c r="D7" s="83">
        <v>8</v>
      </c>
      <c r="E7" s="83">
        <v>15</v>
      </c>
      <c r="F7" s="17">
        <v>-34</v>
      </c>
      <c r="G7" s="16">
        <v>15</v>
      </c>
      <c r="H7" s="16">
        <f t="shared" si="0"/>
        <v>3.7048566773898286</v>
      </c>
      <c r="I7" s="15">
        <v>3.39</v>
      </c>
      <c r="J7" s="18">
        <f t="shared" si="1"/>
        <v>9.2878075926203119E-2</v>
      </c>
    </row>
    <row r="8" spans="1:14" x14ac:dyDescent="0.25">
      <c r="A8" s="16">
        <v>6</v>
      </c>
      <c r="B8" s="81" t="s">
        <v>9</v>
      </c>
      <c r="C8" s="83">
        <v>23</v>
      </c>
      <c r="D8" s="83">
        <v>5</v>
      </c>
      <c r="E8" s="83">
        <v>13</v>
      </c>
      <c r="F8" s="17">
        <v>-34</v>
      </c>
      <c r="G8" s="16">
        <v>15</v>
      </c>
      <c r="H8" s="16">
        <f t="shared" si="0"/>
        <v>4.2447620074628443</v>
      </c>
      <c r="I8" s="15">
        <v>3.42</v>
      </c>
      <c r="J8" s="18">
        <f t="shared" si="1"/>
        <v>0.241158481714282</v>
      </c>
    </row>
    <row r="9" spans="1:14" x14ac:dyDescent="0.25">
      <c r="A9" s="16">
        <v>7</v>
      </c>
      <c r="B9" s="81" t="s">
        <v>9</v>
      </c>
      <c r="C9" s="83">
        <v>23</v>
      </c>
      <c r="D9" s="83">
        <v>7</v>
      </c>
      <c r="E9" s="83">
        <v>15</v>
      </c>
      <c r="F9" s="17">
        <v>-34</v>
      </c>
      <c r="G9" s="16">
        <v>15</v>
      </c>
      <c r="H9" s="16">
        <f t="shared" si="0"/>
        <v>4.2780000000000005</v>
      </c>
      <c r="I9" s="15">
        <v>3.49</v>
      </c>
      <c r="J9" s="18">
        <f t="shared" si="1"/>
        <v>0.22578796561604597</v>
      </c>
    </row>
    <row r="10" spans="1:14" x14ac:dyDescent="0.25">
      <c r="A10" s="82"/>
      <c r="B10" s="82"/>
      <c r="C10" s="84">
        <f>AVERAGE(C3:C9)</f>
        <v>19.571428571428573</v>
      </c>
      <c r="D10" s="84">
        <f>AVERAGE(D3:D9)</f>
        <v>5.5714285714285712</v>
      </c>
      <c r="E10" s="84">
        <f>AVERAGE(E3:E9)</f>
        <v>12.285714285714286</v>
      </c>
      <c r="F10" s="17">
        <v>-34</v>
      </c>
      <c r="G10" s="16">
        <v>15</v>
      </c>
      <c r="H10" s="16">
        <f>0.0023*(E10+16)*G10*(C10-D10)^0.5</f>
        <v>3.6513230870075422</v>
      </c>
      <c r="I10" s="84">
        <f>AVERAGE(I3:I9)</f>
        <v>3.1371428571428575</v>
      </c>
      <c r="J10" s="18">
        <f t="shared" si="1"/>
        <v>0.16390080186943501</v>
      </c>
    </row>
    <row r="11" spans="1:14" x14ac:dyDescent="0.25">
      <c r="A11" s="82"/>
      <c r="B11" s="82"/>
      <c r="C11" s="82"/>
      <c r="D11" s="82"/>
      <c r="E11" s="82"/>
      <c r="F11" s="82"/>
      <c r="G11" s="82"/>
      <c r="H11" s="25"/>
      <c r="I11" s="82"/>
      <c r="J11" s="82"/>
    </row>
    <row r="12" spans="1:14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4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4" x14ac:dyDescent="0.25">
      <c r="A14" s="16">
        <v>8</v>
      </c>
      <c r="B14" s="16" t="s">
        <v>9</v>
      </c>
      <c r="C14" s="83">
        <v>17</v>
      </c>
      <c r="D14" s="83">
        <v>11</v>
      </c>
      <c r="E14" s="83">
        <v>14</v>
      </c>
      <c r="F14" s="17">
        <v>-34</v>
      </c>
      <c r="G14" s="16">
        <v>15</v>
      </c>
      <c r="H14" s="16">
        <f>0.0023*(E14+16)*G14*(C14-D14)^0.5</f>
        <v>2.5352218837805895</v>
      </c>
      <c r="I14" s="15">
        <v>2.04</v>
      </c>
      <c r="J14" s="18">
        <f>(H14/I14)-1</f>
        <v>0.24275582538264184</v>
      </c>
    </row>
    <row r="15" spans="1:14" x14ac:dyDescent="0.25">
      <c r="A15" s="16">
        <v>9</v>
      </c>
      <c r="B15" s="16" t="s">
        <v>9</v>
      </c>
      <c r="C15" s="83">
        <v>23</v>
      </c>
      <c r="D15" s="83">
        <v>5</v>
      </c>
      <c r="E15" s="83">
        <v>14</v>
      </c>
      <c r="F15" s="17">
        <v>-34</v>
      </c>
      <c r="G15" s="16">
        <v>15</v>
      </c>
      <c r="H15" s="16">
        <f t="shared" ref="H15:H21" si="2">0.0023*(E15+16)*G15*(C15-D15)^0.5</f>
        <v>4.3911331111684602</v>
      </c>
      <c r="I15" s="15">
        <v>3.42</v>
      </c>
      <c r="J15" s="18">
        <f t="shared" ref="J15:J21" si="3">(H15/I15)-1</f>
        <v>0.28395705004925742</v>
      </c>
    </row>
    <row r="16" spans="1:14" x14ac:dyDescent="0.25">
      <c r="A16" s="16">
        <v>10</v>
      </c>
      <c r="B16" s="16" t="s">
        <v>9</v>
      </c>
      <c r="C16" s="83">
        <v>21</v>
      </c>
      <c r="D16" s="83">
        <v>11</v>
      </c>
      <c r="E16" s="83">
        <v>15</v>
      </c>
      <c r="F16" s="17">
        <v>-34</v>
      </c>
      <c r="G16" s="16">
        <v>15</v>
      </c>
      <c r="H16" s="16">
        <f t="shared" si="2"/>
        <v>3.3820559575500821</v>
      </c>
      <c r="I16" s="15">
        <v>3.54</v>
      </c>
      <c r="J16" s="18">
        <f t="shared" si="3"/>
        <v>-4.4616961144044565E-2</v>
      </c>
    </row>
    <row r="17" spans="1:10" x14ac:dyDescent="0.25">
      <c r="A17" s="16">
        <v>11</v>
      </c>
      <c r="B17" s="16" t="s">
        <v>9</v>
      </c>
      <c r="C17" s="83">
        <v>27</v>
      </c>
      <c r="D17" s="83">
        <v>8</v>
      </c>
      <c r="E17" s="83">
        <v>15</v>
      </c>
      <c r="F17" s="17">
        <v>-34</v>
      </c>
      <c r="G17" s="16">
        <v>15</v>
      </c>
      <c r="H17" s="16">
        <f t="shared" si="2"/>
        <v>4.6618424201167512</v>
      </c>
      <c r="I17" s="15">
        <v>3.54</v>
      </c>
      <c r="J17" s="18">
        <f t="shared" si="3"/>
        <v>0.31690463845105965</v>
      </c>
    </row>
    <row r="18" spans="1:10" x14ac:dyDescent="0.25">
      <c r="A18" s="16">
        <v>12</v>
      </c>
      <c r="B18" s="16" t="s">
        <v>9</v>
      </c>
      <c r="C18" s="83">
        <v>19</v>
      </c>
      <c r="D18" s="83">
        <v>10</v>
      </c>
      <c r="E18" s="83">
        <v>14</v>
      </c>
      <c r="F18" s="17">
        <v>-34</v>
      </c>
      <c r="G18" s="16">
        <v>15</v>
      </c>
      <c r="H18" s="16">
        <f t="shared" si="2"/>
        <v>3.1050000000000004</v>
      </c>
      <c r="I18" s="15">
        <v>2.42</v>
      </c>
      <c r="J18" s="18">
        <f t="shared" si="3"/>
        <v>0.28305785123966953</v>
      </c>
    </row>
    <row r="19" spans="1:10" x14ac:dyDescent="0.25">
      <c r="A19" s="16">
        <v>13</v>
      </c>
      <c r="B19" s="16" t="s">
        <v>9</v>
      </c>
      <c r="C19" s="83">
        <v>21</v>
      </c>
      <c r="D19" s="83">
        <v>11</v>
      </c>
      <c r="E19" s="83">
        <v>14</v>
      </c>
      <c r="F19" s="17">
        <v>-34</v>
      </c>
      <c r="G19" s="16">
        <v>15</v>
      </c>
      <c r="H19" s="16">
        <f t="shared" si="2"/>
        <v>3.2729573782742731</v>
      </c>
      <c r="I19" s="15">
        <v>3.16</v>
      </c>
      <c r="J19" s="18">
        <f t="shared" si="3"/>
        <v>3.5746005782997692E-2</v>
      </c>
    </row>
    <row r="20" spans="1:10" x14ac:dyDescent="0.25">
      <c r="A20" s="16">
        <v>14</v>
      </c>
      <c r="B20" s="16" t="s">
        <v>9</v>
      </c>
      <c r="C20" s="83">
        <v>16</v>
      </c>
      <c r="D20" s="83">
        <v>8</v>
      </c>
      <c r="E20" s="83">
        <v>12</v>
      </c>
      <c r="F20" s="17">
        <v>-34</v>
      </c>
      <c r="G20" s="16">
        <v>15</v>
      </c>
      <c r="H20" s="16">
        <f t="shared" si="2"/>
        <v>2.7322606025048199</v>
      </c>
      <c r="I20" s="15">
        <v>3.16</v>
      </c>
      <c r="J20" s="18">
        <f t="shared" si="3"/>
        <v>-0.13536056882758862</v>
      </c>
    </row>
    <row r="21" spans="1:10" x14ac:dyDescent="0.25">
      <c r="A21" s="82"/>
      <c r="B21" s="82"/>
      <c r="C21" s="83">
        <f>AVERAGE(C14:C20)</f>
        <v>20.571428571428573</v>
      </c>
      <c r="D21" s="83">
        <f>AVERAGE(D14:D20)</f>
        <v>9.1428571428571423</v>
      </c>
      <c r="E21" s="84">
        <f>AVERAGE(E14:E20)</f>
        <v>14</v>
      </c>
      <c r="F21" s="17">
        <v>-34</v>
      </c>
      <c r="G21" s="16">
        <v>15</v>
      </c>
      <c r="H21" s="16">
        <f t="shared" si="2"/>
        <v>3.4989386145760597</v>
      </c>
      <c r="I21" s="84">
        <f>AVERAGE(I14:I20)</f>
        <v>3.0399999999999996</v>
      </c>
      <c r="J21" s="18">
        <f t="shared" si="3"/>
        <v>0.15096664953159866</v>
      </c>
    </row>
    <row r="22" spans="1:10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</row>
    <row r="23" spans="1:10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</row>
    <row r="24" spans="1:10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</row>
    <row r="25" spans="1:10" x14ac:dyDescent="0.25">
      <c r="A25" s="16">
        <v>15</v>
      </c>
      <c r="B25" s="16" t="s">
        <v>9</v>
      </c>
      <c r="C25" s="83">
        <v>18</v>
      </c>
      <c r="D25" s="83">
        <v>4</v>
      </c>
      <c r="E25" s="83">
        <v>10</v>
      </c>
      <c r="F25" s="17">
        <v>-34</v>
      </c>
      <c r="G25" s="16">
        <v>15</v>
      </c>
      <c r="H25" s="16">
        <f>0.0023*(E25+16)*G25*(C25-D25)^0.5</f>
        <v>3.3562666759362254</v>
      </c>
      <c r="I25" s="15">
        <v>3.44</v>
      </c>
      <c r="J25" s="18">
        <f>(H25/I25)-1</f>
        <v>-2.4341082576678663E-2</v>
      </c>
    </row>
    <row r="26" spans="1:10" x14ac:dyDescent="0.25">
      <c r="A26" s="16">
        <v>16</v>
      </c>
      <c r="B26" s="16" t="s">
        <v>9</v>
      </c>
      <c r="C26" s="83">
        <v>21</v>
      </c>
      <c r="D26" s="83">
        <v>5</v>
      </c>
      <c r="E26" s="83">
        <v>12</v>
      </c>
      <c r="F26" s="17">
        <v>-34</v>
      </c>
      <c r="G26" s="16">
        <v>15</v>
      </c>
      <c r="H26" s="16">
        <f t="shared" ref="H26:H32" si="4">0.0023*(E26+16)*G26*(C26-D26)^0.5</f>
        <v>3.8639999999999999</v>
      </c>
      <c r="I26" s="15">
        <v>3.85</v>
      </c>
      <c r="J26" s="18">
        <f t="shared" ref="J26:J32" si="5">(H26/I26)-1</f>
        <v>3.6363636363636598E-3</v>
      </c>
    </row>
    <row r="27" spans="1:10" x14ac:dyDescent="0.25">
      <c r="A27" s="16">
        <v>17</v>
      </c>
      <c r="B27" s="16" t="s">
        <v>9</v>
      </c>
      <c r="C27" s="83">
        <v>21</v>
      </c>
      <c r="D27" s="83">
        <v>7</v>
      </c>
      <c r="E27" s="83">
        <v>13</v>
      </c>
      <c r="F27" s="17">
        <v>-34</v>
      </c>
      <c r="G27" s="16">
        <v>15</v>
      </c>
      <c r="H27" s="16">
        <f t="shared" si="4"/>
        <v>3.7435282154673279</v>
      </c>
      <c r="I27" s="15">
        <v>3.35</v>
      </c>
      <c r="J27" s="18">
        <f t="shared" si="5"/>
        <v>0.11747110909472469</v>
      </c>
    </row>
    <row r="28" spans="1:10" x14ac:dyDescent="0.25">
      <c r="A28" s="16">
        <v>18</v>
      </c>
      <c r="B28" s="16" t="s">
        <v>9</v>
      </c>
      <c r="C28" s="83">
        <v>26</v>
      </c>
      <c r="D28" s="83">
        <v>7</v>
      </c>
      <c r="E28" s="83">
        <v>15</v>
      </c>
      <c r="F28" s="17">
        <v>-34</v>
      </c>
      <c r="G28" s="16">
        <v>15</v>
      </c>
      <c r="H28" s="16">
        <f t="shared" si="4"/>
        <v>4.6618424201167512</v>
      </c>
      <c r="I28" s="15">
        <v>3.89</v>
      </c>
      <c r="J28" s="18">
        <f t="shared" si="5"/>
        <v>0.19841707458014168</v>
      </c>
    </row>
    <row r="29" spans="1:10" x14ac:dyDescent="0.25">
      <c r="A29" s="16">
        <v>19</v>
      </c>
      <c r="B29" s="16" t="s">
        <v>9</v>
      </c>
      <c r="C29" s="83">
        <v>30</v>
      </c>
      <c r="D29" s="83">
        <v>10</v>
      </c>
      <c r="E29" s="83">
        <v>18</v>
      </c>
      <c r="F29" s="17">
        <v>-34</v>
      </c>
      <c r="G29" s="16">
        <v>15</v>
      </c>
      <c r="H29" s="16">
        <f t="shared" si="4"/>
        <v>5.2458154752145063</v>
      </c>
      <c r="I29" s="15">
        <v>4.4400000000000004</v>
      </c>
      <c r="J29" s="18">
        <f t="shared" si="5"/>
        <v>0.18148997189515903</v>
      </c>
    </row>
    <row r="30" spans="1:10" x14ac:dyDescent="0.25">
      <c r="A30" s="16">
        <v>20</v>
      </c>
      <c r="B30" s="16" t="s">
        <v>9</v>
      </c>
      <c r="C30" s="83">
        <v>20</v>
      </c>
      <c r="D30" s="83">
        <v>10</v>
      </c>
      <c r="E30" s="83">
        <v>14</v>
      </c>
      <c r="F30" s="17">
        <v>-34</v>
      </c>
      <c r="G30" s="16">
        <v>15</v>
      </c>
      <c r="H30" s="16">
        <f t="shared" si="4"/>
        <v>3.2729573782742731</v>
      </c>
      <c r="I30" s="15">
        <v>1.46</v>
      </c>
      <c r="J30" s="18">
        <f t="shared" si="5"/>
        <v>1.2417516289549817</v>
      </c>
    </row>
    <row r="31" spans="1:10" x14ac:dyDescent="0.25">
      <c r="A31" s="16">
        <v>21</v>
      </c>
      <c r="B31" s="16" t="s">
        <v>9</v>
      </c>
      <c r="C31" s="83">
        <v>17</v>
      </c>
      <c r="D31" s="83">
        <v>9</v>
      </c>
      <c r="E31" s="83">
        <v>13</v>
      </c>
      <c r="F31" s="17">
        <v>-34</v>
      </c>
      <c r="G31" s="16">
        <v>15</v>
      </c>
      <c r="H31" s="16">
        <f t="shared" si="4"/>
        <v>2.8298413383085634</v>
      </c>
      <c r="I31" s="15">
        <v>2.5299999999999998</v>
      </c>
      <c r="J31" s="18">
        <f t="shared" si="5"/>
        <v>0.11851436296781181</v>
      </c>
    </row>
    <row r="32" spans="1:10" x14ac:dyDescent="0.25">
      <c r="A32" s="82"/>
      <c r="B32" s="82"/>
      <c r="C32" s="83">
        <f>AVERAGE(C25:C31)</f>
        <v>21.857142857142858</v>
      </c>
      <c r="D32" s="83">
        <f t="shared" ref="D32:E32" si="6">AVERAGE(D25:D31)</f>
        <v>7.4285714285714288</v>
      </c>
      <c r="E32" s="83">
        <f t="shared" si="6"/>
        <v>13.571428571428571</v>
      </c>
      <c r="F32" s="17">
        <v>-34</v>
      </c>
      <c r="G32" s="16">
        <v>15</v>
      </c>
      <c r="H32" s="16">
        <f t="shared" si="4"/>
        <v>3.875279825220487</v>
      </c>
      <c r="I32" s="84">
        <f>AVERAGE(I25:I31)</f>
        <v>3.2800000000000007</v>
      </c>
      <c r="J32" s="18">
        <f t="shared" si="5"/>
        <v>0.18148775159161157</v>
      </c>
    </row>
    <row r="33" spans="1:12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</row>
    <row r="34" spans="1:12" x14ac:dyDescent="0.25">
      <c r="A34" s="82"/>
      <c r="B34" s="82"/>
      <c r="C34" s="82"/>
      <c r="D34" s="82"/>
      <c r="E34" s="82"/>
      <c r="F34" s="82"/>
      <c r="G34" s="82"/>
      <c r="H34" s="82"/>
      <c r="I34" s="82"/>
      <c r="J34" s="82"/>
    </row>
    <row r="35" spans="1:12" x14ac:dyDescent="0.25">
      <c r="A35" s="82"/>
      <c r="B35" s="82"/>
      <c r="C35" s="82"/>
      <c r="D35" s="82"/>
      <c r="E35" s="82"/>
      <c r="F35" s="82"/>
      <c r="G35" s="82"/>
      <c r="H35" s="82"/>
      <c r="I35" s="82"/>
      <c r="J35" s="82"/>
    </row>
    <row r="36" spans="1:12" x14ac:dyDescent="0.25">
      <c r="A36" s="16">
        <v>19</v>
      </c>
      <c r="B36" s="16" t="s">
        <v>9</v>
      </c>
      <c r="C36" s="83">
        <v>30</v>
      </c>
      <c r="D36" s="83">
        <v>10</v>
      </c>
      <c r="E36" s="83">
        <v>18</v>
      </c>
      <c r="F36" s="17">
        <v>-34</v>
      </c>
      <c r="G36" s="16">
        <v>15</v>
      </c>
      <c r="H36" s="16">
        <f t="shared" ref="H36:H43" si="7">0.0023*(E36+17)*G36*(C36-D36)^0.5</f>
        <v>5.4001041656619924</v>
      </c>
      <c r="I36" s="15">
        <v>4.4400000000000004</v>
      </c>
      <c r="J36" s="18">
        <f t="shared" ref="J36:J43" si="8">(H36/I36)-1</f>
        <v>0.21623967695089918</v>
      </c>
      <c r="K36" s="79"/>
      <c r="L36" s="80"/>
    </row>
    <row r="37" spans="1:12" x14ac:dyDescent="0.25">
      <c r="A37" s="16">
        <v>20</v>
      </c>
      <c r="B37" s="16" t="s">
        <v>9</v>
      </c>
      <c r="C37" s="83">
        <v>20</v>
      </c>
      <c r="D37" s="83">
        <v>10</v>
      </c>
      <c r="E37" s="83">
        <v>14</v>
      </c>
      <c r="F37" s="17">
        <v>-34</v>
      </c>
      <c r="G37" s="16">
        <v>15</v>
      </c>
      <c r="H37" s="16">
        <f t="shared" si="7"/>
        <v>3.3820559575500821</v>
      </c>
      <c r="I37" s="15">
        <v>1.46</v>
      </c>
      <c r="J37" s="18">
        <f t="shared" si="8"/>
        <v>1.3164766832534811</v>
      </c>
      <c r="K37" s="79"/>
      <c r="L37" s="80"/>
    </row>
    <row r="38" spans="1:12" x14ac:dyDescent="0.25">
      <c r="A38" s="16">
        <v>21</v>
      </c>
      <c r="B38" s="16" t="s">
        <v>9</v>
      </c>
      <c r="C38" s="83">
        <v>17</v>
      </c>
      <c r="D38" s="83">
        <v>9</v>
      </c>
      <c r="E38" s="83">
        <v>13</v>
      </c>
      <c r="F38" s="17">
        <v>-34</v>
      </c>
      <c r="G38" s="16">
        <v>15</v>
      </c>
      <c r="H38" s="16">
        <f t="shared" si="7"/>
        <v>2.9274220741123074</v>
      </c>
      <c r="I38" s="15">
        <v>2.5299999999999998</v>
      </c>
      <c r="J38" s="18">
        <f t="shared" si="8"/>
        <v>0.15708382375980534</v>
      </c>
      <c r="K38" s="79"/>
      <c r="L38" s="80"/>
    </row>
    <row r="39" spans="1:12" x14ac:dyDescent="0.25">
      <c r="A39" s="16">
        <v>22</v>
      </c>
      <c r="B39" s="16" t="s">
        <v>9</v>
      </c>
      <c r="C39" s="83">
        <v>20</v>
      </c>
      <c r="D39" s="83">
        <v>8</v>
      </c>
      <c r="E39" s="83">
        <v>14</v>
      </c>
      <c r="F39" s="17">
        <v>-34</v>
      </c>
      <c r="G39" s="16">
        <v>15</v>
      </c>
      <c r="H39" s="16">
        <f t="shared" si="7"/>
        <v>3.7048566773898286</v>
      </c>
      <c r="I39" s="15">
        <v>3.62</v>
      </c>
      <c r="J39" s="18">
        <f t="shared" si="8"/>
        <v>2.3441071102162647E-2</v>
      </c>
      <c r="K39" s="79"/>
      <c r="L39" s="80"/>
    </row>
    <row r="40" spans="1:12" x14ac:dyDescent="0.25">
      <c r="A40" s="16">
        <v>23</v>
      </c>
      <c r="B40" s="16" t="s">
        <v>9</v>
      </c>
      <c r="C40" s="83">
        <v>21</v>
      </c>
      <c r="D40" s="83">
        <v>5</v>
      </c>
      <c r="E40" s="83">
        <v>13</v>
      </c>
      <c r="F40" s="17">
        <v>-34</v>
      </c>
      <c r="G40" s="16">
        <v>15</v>
      </c>
      <c r="H40" s="16">
        <f t="shared" si="7"/>
        <v>4.1400000000000006</v>
      </c>
      <c r="I40" s="15">
        <v>4.01</v>
      </c>
      <c r="J40" s="18">
        <f t="shared" si="8"/>
        <v>3.2418952618453956E-2</v>
      </c>
      <c r="K40" s="79"/>
      <c r="L40" s="80"/>
    </row>
    <row r="41" spans="1:12" x14ac:dyDescent="0.25">
      <c r="A41" s="16">
        <v>24</v>
      </c>
      <c r="B41" s="16" t="s">
        <v>9</v>
      </c>
      <c r="C41" s="83">
        <v>26</v>
      </c>
      <c r="D41" s="83">
        <v>7</v>
      </c>
      <c r="E41" s="83">
        <v>16</v>
      </c>
      <c r="F41" s="17">
        <v>-34</v>
      </c>
      <c r="G41" s="16">
        <v>15</v>
      </c>
      <c r="H41" s="16">
        <f t="shared" si="7"/>
        <v>4.9626064472210567</v>
      </c>
      <c r="I41" s="15">
        <v>4.4800000000000004</v>
      </c>
      <c r="J41" s="18">
        <f t="shared" si="8"/>
        <v>0.1077246533975571</v>
      </c>
      <c r="K41" s="79"/>
      <c r="L41" s="80"/>
    </row>
    <row r="42" spans="1:12" x14ac:dyDescent="0.25">
      <c r="A42" s="16">
        <v>25</v>
      </c>
      <c r="B42" s="16" t="s">
        <v>9</v>
      </c>
      <c r="C42" s="83">
        <v>27</v>
      </c>
      <c r="D42" s="83">
        <v>10</v>
      </c>
      <c r="E42" s="83">
        <v>18</v>
      </c>
      <c r="F42" s="17">
        <v>-34</v>
      </c>
      <c r="G42" s="16">
        <v>15</v>
      </c>
      <c r="H42" s="16">
        <f t="shared" si="7"/>
        <v>4.9786500429333254</v>
      </c>
      <c r="I42" s="15">
        <v>5.07</v>
      </c>
      <c r="J42" s="18">
        <f t="shared" si="8"/>
        <v>-1.8017743011178533E-2</v>
      </c>
      <c r="K42" s="79"/>
      <c r="L42" s="80"/>
    </row>
    <row r="43" spans="1:12" x14ac:dyDescent="0.25">
      <c r="A43" s="82"/>
      <c r="B43" s="82"/>
      <c r="C43" s="83">
        <f>AVERAGE(C36:C42)</f>
        <v>23</v>
      </c>
      <c r="D43" s="83">
        <f t="shared" ref="D43:E43" si="9">AVERAGE(D36:D42)</f>
        <v>8.4285714285714288</v>
      </c>
      <c r="E43" s="83">
        <f t="shared" si="9"/>
        <v>15.142857142857142</v>
      </c>
      <c r="F43" s="17">
        <v>-34</v>
      </c>
      <c r="G43" s="16">
        <v>15</v>
      </c>
      <c r="H43" s="16">
        <f t="shared" si="7"/>
        <v>4.2330620934010543</v>
      </c>
      <c r="I43" s="84">
        <f>AVERAGE(I36:I42)</f>
        <v>3.6585714285714288</v>
      </c>
      <c r="J43" s="18">
        <f t="shared" si="8"/>
        <v>0.15702595290149857</v>
      </c>
      <c r="K43" s="79"/>
      <c r="L43" s="80"/>
    </row>
  </sheetData>
  <hyperlinks>
    <hyperlink ref="I1" r:id="rId1" xr:uid="{3FB6C410-7990-4625-9523-02F7C45AE246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BD9C-3DFC-44B1-AEDD-FD40B15C2657}">
  <dimension ref="A1:N32"/>
  <sheetViews>
    <sheetView workbookViewId="0">
      <selection activeCell="Q26" sqref="Q26"/>
    </sheetView>
  </sheetViews>
  <sheetFormatPr baseColWidth="10" defaultRowHeight="15" x14ac:dyDescent="0.25"/>
  <cols>
    <col min="8" max="8" width="23" customWidth="1"/>
    <col min="9" max="9" width="22.7109375" bestFit="1" customWidth="1"/>
    <col min="11" max="11" width="24" style="78" bestFit="1" customWidth="1"/>
    <col min="12" max="12" width="28.28515625" bestFit="1" customWidth="1"/>
  </cols>
  <sheetData>
    <row r="1" spans="1:13" x14ac:dyDescent="0.25">
      <c r="A1" s="181" t="s">
        <v>175</v>
      </c>
      <c r="B1" s="181" t="s">
        <v>12</v>
      </c>
      <c r="C1" s="182" t="s">
        <v>184</v>
      </c>
      <c r="D1" s="182" t="s">
        <v>185</v>
      </c>
      <c r="E1" s="182" t="s">
        <v>187</v>
      </c>
      <c r="F1" s="181" t="s">
        <v>31</v>
      </c>
      <c r="G1" s="181" t="s">
        <v>178</v>
      </c>
      <c r="H1" s="174" t="s">
        <v>215</v>
      </c>
      <c r="I1" s="174" t="s">
        <v>216</v>
      </c>
      <c r="J1" s="174" t="s">
        <v>180</v>
      </c>
      <c r="K1" s="174" t="s">
        <v>222</v>
      </c>
      <c r="L1" s="174" t="s">
        <v>223</v>
      </c>
      <c r="M1" s="174" t="s">
        <v>180</v>
      </c>
    </row>
    <row r="2" spans="1:13" x14ac:dyDescent="0.25">
      <c r="A2" s="174">
        <v>1</v>
      </c>
      <c r="B2" s="174" t="s">
        <v>9</v>
      </c>
      <c r="C2" s="174">
        <v>20</v>
      </c>
      <c r="D2" s="174">
        <v>5</v>
      </c>
      <c r="E2" s="174">
        <f>AVERAGE(C2:D2)</f>
        <v>12.5</v>
      </c>
      <c r="F2" s="183">
        <v>-34</v>
      </c>
      <c r="G2" s="174">
        <v>15</v>
      </c>
      <c r="H2" s="174">
        <f t="shared" ref="H2:H26" si="0">0.0023*(E2+17)*G2*(C2-D2)^0.5</f>
        <v>3.9417288006025983</v>
      </c>
      <c r="I2" s="184">
        <v>3.43</v>
      </c>
      <c r="J2" s="185">
        <f>ABS(H2-I2)/I2</f>
        <v>0.14919207014653008</v>
      </c>
      <c r="K2" s="399">
        <f>SUM(H2:H8)</f>
        <v>26.665990934180755</v>
      </c>
      <c r="L2" s="399">
        <f>SUM(I2:I8)</f>
        <v>21.96</v>
      </c>
      <c r="M2" s="400">
        <f>ABS(K2-L2)/L2</f>
        <v>0.21429831212116365</v>
      </c>
    </row>
    <row r="3" spans="1:13" x14ac:dyDescent="0.25">
      <c r="A3" s="174">
        <v>2</v>
      </c>
      <c r="B3" s="174" t="s">
        <v>9</v>
      </c>
      <c r="C3" s="174">
        <v>15</v>
      </c>
      <c r="D3" s="174">
        <v>6</v>
      </c>
      <c r="E3" s="174">
        <f t="shared" ref="E3:E26" si="1">AVERAGE(C3:D3)</f>
        <v>10.5</v>
      </c>
      <c r="F3" s="183">
        <v>-34</v>
      </c>
      <c r="G3" s="174">
        <v>15</v>
      </c>
      <c r="H3" s="174">
        <f t="shared" si="0"/>
        <v>2.8462499999999999</v>
      </c>
      <c r="I3" s="184">
        <v>2.92</v>
      </c>
      <c r="J3" s="185">
        <f t="shared" ref="J3:J26" si="2">ABS(H3-I3)/I3</f>
        <v>2.5256849315068487E-2</v>
      </c>
      <c r="K3" s="399"/>
      <c r="L3" s="399"/>
      <c r="M3" s="400"/>
    </row>
    <row r="4" spans="1:13" x14ac:dyDescent="0.25">
      <c r="A4" s="174">
        <v>3</v>
      </c>
      <c r="B4" s="174" t="s">
        <v>9</v>
      </c>
      <c r="C4" s="174">
        <v>18</v>
      </c>
      <c r="D4" s="174">
        <v>3</v>
      </c>
      <c r="E4" s="174">
        <f t="shared" si="1"/>
        <v>10.5</v>
      </c>
      <c r="F4" s="183">
        <v>-34</v>
      </c>
      <c r="G4" s="174">
        <v>15</v>
      </c>
      <c r="H4" s="174">
        <f t="shared" si="0"/>
        <v>3.6744929497142866</v>
      </c>
      <c r="I4" s="184">
        <v>2.77</v>
      </c>
      <c r="J4" s="185">
        <f t="shared" si="2"/>
        <v>0.32653175079938146</v>
      </c>
      <c r="K4" s="399"/>
      <c r="L4" s="399"/>
      <c r="M4" s="400"/>
    </row>
    <row r="5" spans="1:13" x14ac:dyDescent="0.25">
      <c r="A5" s="174">
        <v>4</v>
      </c>
      <c r="B5" s="174" t="s">
        <v>9</v>
      </c>
      <c r="C5" s="174">
        <v>18</v>
      </c>
      <c r="D5" s="174">
        <v>5</v>
      </c>
      <c r="E5" s="174">
        <f t="shared" si="1"/>
        <v>11.5</v>
      </c>
      <c r="F5" s="183">
        <v>-34</v>
      </c>
      <c r="G5" s="174">
        <v>15</v>
      </c>
      <c r="H5" s="174">
        <f t="shared" si="0"/>
        <v>3.5451582915999671</v>
      </c>
      <c r="I5" s="184">
        <v>2.54</v>
      </c>
      <c r="J5" s="185">
        <f t="shared" si="2"/>
        <v>0.39573161086612874</v>
      </c>
      <c r="K5" s="399"/>
      <c r="L5" s="399"/>
      <c r="M5" s="400"/>
    </row>
    <row r="6" spans="1:13" x14ac:dyDescent="0.25">
      <c r="A6" s="174">
        <v>5</v>
      </c>
      <c r="B6" s="174" t="s">
        <v>9</v>
      </c>
      <c r="C6" s="174">
        <v>20</v>
      </c>
      <c r="D6" s="174">
        <v>8</v>
      </c>
      <c r="E6" s="174">
        <f t="shared" si="1"/>
        <v>14</v>
      </c>
      <c r="F6" s="183">
        <v>-34</v>
      </c>
      <c r="G6" s="174">
        <v>15</v>
      </c>
      <c r="H6" s="174">
        <f t="shared" si="0"/>
        <v>3.7048566773898286</v>
      </c>
      <c r="I6" s="184">
        <v>3.39</v>
      </c>
      <c r="J6" s="185">
        <f t="shared" si="2"/>
        <v>9.2878075926203091E-2</v>
      </c>
      <c r="K6" s="399"/>
      <c r="L6" s="399"/>
      <c r="M6" s="400"/>
    </row>
    <row r="7" spans="1:13" x14ac:dyDescent="0.25">
      <c r="A7" s="174">
        <v>6</v>
      </c>
      <c r="B7" s="174" t="s">
        <v>9</v>
      </c>
      <c r="C7" s="174">
        <v>23</v>
      </c>
      <c r="D7" s="174">
        <v>5</v>
      </c>
      <c r="E7" s="174">
        <f t="shared" si="1"/>
        <v>14</v>
      </c>
      <c r="F7" s="183">
        <v>-34</v>
      </c>
      <c r="G7" s="174">
        <v>15</v>
      </c>
      <c r="H7" s="174">
        <f t="shared" si="0"/>
        <v>4.5375042148740752</v>
      </c>
      <c r="I7" s="184">
        <v>3.42</v>
      </c>
      <c r="J7" s="185">
        <f t="shared" si="2"/>
        <v>0.32675561838423256</v>
      </c>
      <c r="K7" s="399"/>
      <c r="L7" s="399"/>
      <c r="M7" s="400"/>
    </row>
    <row r="8" spans="1:13" x14ac:dyDescent="0.25">
      <c r="A8" s="174">
        <v>7</v>
      </c>
      <c r="B8" s="174" t="s">
        <v>9</v>
      </c>
      <c r="C8" s="174">
        <v>23</v>
      </c>
      <c r="D8" s="174">
        <v>7</v>
      </c>
      <c r="E8" s="174">
        <f t="shared" si="1"/>
        <v>15</v>
      </c>
      <c r="F8" s="183">
        <v>-34</v>
      </c>
      <c r="G8" s="174">
        <v>15</v>
      </c>
      <c r="H8" s="174">
        <f t="shared" si="0"/>
        <v>4.4160000000000004</v>
      </c>
      <c r="I8" s="184">
        <v>3.49</v>
      </c>
      <c r="J8" s="185">
        <f t="shared" si="2"/>
        <v>0.26532951289398282</v>
      </c>
      <c r="K8" s="399"/>
      <c r="L8" s="399"/>
      <c r="M8" s="400"/>
    </row>
    <row r="9" spans="1:13" x14ac:dyDescent="0.25">
      <c r="A9" s="174">
        <v>8</v>
      </c>
      <c r="B9" s="174" t="s">
        <v>9</v>
      </c>
      <c r="C9" s="174">
        <v>17</v>
      </c>
      <c r="D9" s="174">
        <v>11</v>
      </c>
      <c r="E9" s="174">
        <f t="shared" si="1"/>
        <v>14</v>
      </c>
      <c r="F9" s="183">
        <v>-34</v>
      </c>
      <c r="G9" s="174">
        <v>15</v>
      </c>
      <c r="H9" s="174">
        <f t="shared" si="0"/>
        <v>2.619729279906609</v>
      </c>
      <c r="I9" s="184">
        <v>2.04</v>
      </c>
      <c r="J9" s="185">
        <f t="shared" si="2"/>
        <v>0.28418101956206321</v>
      </c>
      <c r="K9" s="399">
        <f>SUM(H9:H15)</f>
        <v>25.636010532841937</v>
      </c>
      <c r="L9" s="399">
        <f t="shared" ref="L9" si="3">SUM(I9:I15)</f>
        <v>21.279999999999998</v>
      </c>
      <c r="M9" s="400">
        <f>ABS(K9-L9)/L9</f>
        <v>0.20469974308467762</v>
      </c>
    </row>
    <row r="10" spans="1:13" x14ac:dyDescent="0.25">
      <c r="A10" s="174">
        <v>9</v>
      </c>
      <c r="B10" s="174" t="s">
        <v>9</v>
      </c>
      <c r="C10" s="174">
        <v>23</v>
      </c>
      <c r="D10" s="174">
        <v>5</v>
      </c>
      <c r="E10" s="174">
        <f t="shared" si="1"/>
        <v>14</v>
      </c>
      <c r="F10" s="183">
        <v>-34</v>
      </c>
      <c r="G10" s="174">
        <v>15</v>
      </c>
      <c r="H10" s="174">
        <f t="shared" si="0"/>
        <v>4.5375042148740752</v>
      </c>
      <c r="I10" s="184">
        <v>3.42</v>
      </c>
      <c r="J10" s="185">
        <f t="shared" si="2"/>
        <v>0.32675561838423256</v>
      </c>
      <c r="K10" s="399"/>
      <c r="L10" s="399"/>
      <c r="M10" s="400"/>
    </row>
    <row r="11" spans="1:13" x14ac:dyDescent="0.25">
      <c r="A11" s="174">
        <v>10</v>
      </c>
      <c r="B11" s="174" t="s">
        <v>9</v>
      </c>
      <c r="C11" s="174">
        <v>21</v>
      </c>
      <c r="D11" s="174">
        <v>11</v>
      </c>
      <c r="E11" s="174">
        <f t="shared" si="1"/>
        <v>16</v>
      </c>
      <c r="F11" s="183">
        <v>-34</v>
      </c>
      <c r="G11" s="174">
        <v>15</v>
      </c>
      <c r="H11" s="174">
        <f t="shared" si="0"/>
        <v>3.6002531161016997</v>
      </c>
      <c r="I11" s="184">
        <v>3.54</v>
      </c>
      <c r="J11" s="185">
        <f t="shared" si="2"/>
        <v>1.7020654266016864E-2</v>
      </c>
      <c r="K11" s="399"/>
      <c r="L11" s="399"/>
      <c r="M11" s="400"/>
    </row>
    <row r="12" spans="1:13" x14ac:dyDescent="0.25">
      <c r="A12" s="174">
        <v>11</v>
      </c>
      <c r="B12" s="174" t="s">
        <v>9</v>
      </c>
      <c r="C12" s="174">
        <v>27</v>
      </c>
      <c r="D12" s="174">
        <v>8</v>
      </c>
      <c r="E12" s="174">
        <f t="shared" si="1"/>
        <v>17.5</v>
      </c>
      <c r="F12" s="183">
        <v>-34</v>
      </c>
      <c r="G12" s="174">
        <v>15</v>
      </c>
      <c r="H12" s="174">
        <f t="shared" si="0"/>
        <v>5.1881794675492872</v>
      </c>
      <c r="I12" s="184">
        <v>3.54</v>
      </c>
      <c r="J12" s="185">
        <f t="shared" si="2"/>
        <v>0.46558742021166305</v>
      </c>
      <c r="K12" s="399"/>
      <c r="L12" s="399"/>
      <c r="M12" s="400"/>
    </row>
    <row r="13" spans="1:13" x14ac:dyDescent="0.25">
      <c r="A13" s="174">
        <v>12</v>
      </c>
      <c r="B13" s="174" t="s">
        <v>9</v>
      </c>
      <c r="C13" s="174">
        <v>19</v>
      </c>
      <c r="D13" s="174">
        <v>10</v>
      </c>
      <c r="E13" s="174">
        <f t="shared" si="1"/>
        <v>14.5</v>
      </c>
      <c r="F13" s="183">
        <v>-34</v>
      </c>
      <c r="G13" s="174">
        <v>15</v>
      </c>
      <c r="H13" s="174">
        <f t="shared" si="0"/>
        <v>3.2602500000000001</v>
      </c>
      <c r="I13" s="184">
        <v>2.42</v>
      </c>
      <c r="J13" s="185">
        <f t="shared" si="2"/>
        <v>0.34721074380165295</v>
      </c>
      <c r="K13" s="399"/>
      <c r="L13" s="399"/>
      <c r="M13" s="400"/>
    </row>
    <row r="14" spans="1:13" x14ac:dyDescent="0.25">
      <c r="A14" s="174">
        <v>13</v>
      </c>
      <c r="B14" s="174" t="s">
        <v>9</v>
      </c>
      <c r="C14" s="174">
        <v>21</v>
      </c>
      <c r="D14" s="174">
        <v>11</v>
      </c>
      <c r="E14" s="174">
        <f t="shared" si="1"/>
        <v>16</v>
      </c>
      <c r="F14" s="183">
        <v>-34</v>
      </c>
      <c r="G14" s="174">
        <v>15</v>
      </c>
      <c r="H14" s="174">
        <f t="shared" si="0"/>
        <v>3.6002531161016997</v>
      </c>
      <c r="I14" s="184">
        <v>3.16</v>
      </c>
      <c r="J14" s="185">
        <f t="shared" si="2"/>
        <v>0.13932060636129734</v>
      </c>
      <c r="K14" s="399"/>
      <c r="L14" s="399"/>
      <c r="M14" s="400"/>
    </row>
    <row r="15" spans="1:13" x14ac:dyDescent="0.25">
      <c r="A15" s="174">
        <v>14</v>
      </c>
      <c r="B15" s="174" t="s">
        <v>9</v>
      </c>
      <c r="C15" s="174">
        <v>16</v>
      </c>
      <c r="D15" s="174">
        <v>8</v>
      </c>
      <c r="E15" s="174">
        <f t="shared" si="1"/>
        <v>12</v>
      </c>
      <c r="F15" s="183">
        <v>-34</v>
      </c>
      <c r="G15" s="174">
        <v>15</v>
      </c>
      <c r="H15" s="174">
        <f t="shared" si="0"/>
        <v>2.8298413383085634</v>
      </c>
      <c r="I15" s="184">
        <v>3.16</v>
      </c>
      <c r="J15" s="185">
        <f t="shared" si="2"/>
        <v>0.10448058914285971</v>
      </c>
      <c r="K15" s="399"/>
      <c r="L15" s="399"/>
      <c r="M15" s="400"/>
    </row>
    <row r="16" spans="1:13" x14ac:dyDescent="0.25">
      <c r="A16" s="174">
        <v>15</v>
      </c>
      <c r="B16" s="174" t="s">
        <v>9</v>
      </c>
      <c r="C16" s="174">
        <v>18</v>
      </c>
      <c r="D16" s="174">
        <v>4</v>
      </c>
      <c r="E16" s="174">
        <f t="shared" si="1"/>
        <v>11</v>
      </c>
      <c r="F16" s="183">
        <v>-34</v>
      </c>
      <c r="G16" s="174">
        <v>15</v>
      </c>
      <c r="H16" s="174">
        <f t="shared" si="0"/>
        <v>3.6144410356236274</v>
      </c>
      <c r="I16" s="184">
        <v>3.44</v>
      </c>
      <c r="J16" s="185">
        <f t="shared" si="2"/>
        <v>5.0709603378961465E-2</v>
      </c>
      <c r="K16" s="399">
        <f>SUM(H16:H22)</f>
        <v>28.921199222270655</v>
      </c>
      <c r="L16" s="399">
        <f t="shared" ref="L16" si="4">SUM(I16:I22)</f>
        <v>22.960000000000004</v>
      </c>
      <c r="M16" s="400">
        <f>ABS(K16-L16)/L16</f>
        <v>0.25963411246823387</v>
      </c>
    </row>
    <row r="17" spans="1:14" x14ac:dyDescent="0.25">
      <c r="A17" s="174">
        <v>16</v>
      </c>
      <c r="B17" s="174" t="s">
        <v>9</v>
      </c>
      <c r="C17" s="174">
        <v>21</v>
      </c>
      <c r="D17" s="174">
        <v>5</v>
      </c>
      <c r="E17" s="174">
        <f t="shared" si="1"/>
        <v>13</v>
      </c>
      <c r="F17" s="183">
        <v>-34</v>
      </c>
      <c r="G17" s="174">
        <v>15</v>
      </c>
      <c r="H17" s="174">
        <f t="shared" si="0"/>
        <v>4.1400000000000006</v>
      </c>
      <c r="I17" s="184">
        <v>3.85</v>
      </c>
      <c r="J17" s="185">
        <f t="shared" si="2"/>
        <v>7.5324675324675447E-2</v>
      </c>
      <c r="K17" s="399"/>
      <c r="L17" s="399"/>
      <c r="M17" s="400"/>
    </row>
    <row r="18" spans="1:14" x14ac:dyDescent="0.25">
      <c r="A18" s="174">
        <v>17</v>
      </c>
      <c r="B18" s="174" t="s">
        <v>9</v>
      </c>
      <c r="C18" s="174">
        <v>21</v>
      </c>
      <c r="D18" s="174">
        <v>7</v>
      </c>
      <c r="E18" s="174">
        <f t="shared" si="1"/>
        <v>14</v>
      </c>
      <c r="F18" s="183">
        <v>-34</v>
      </c>
      <c r="G18" s="174">
        <v>15</v>
      </c>
      <c r="H18" s="174">
        <f t="shared" si="0"/>
        <v>4.0017025751547308</v>
      </c>
      <c r="I18" s="184">
        <v>3.35</v>
      </c>
      <c r="J18" s="185">
        <f t="shared" si="2"/>
        <v>0.1945380821357405</v>
      </c>
      <c r="K18" s="399"/>
      <c r="L18" s="399"/>
      <c r="M18" s="400"/>
    </row>
    <row r="19" spans="1:14" x14ac:dyDescent="0.25">
      <c r="A19" s="174">
        <v>18</v>
      </c>
      <c r="B19" s="174" t="s">
        <v>9</v>
      </c>
      <c r="C19" s="174">
        <v>26</v>
      </c>
      <c r="D19" s="174">
        <v>7</v>
      </c>
      <c r="E19" s="174">
        <f t="shared" si="1"/>
        <v>16.5</v>
      </c>
      <c r="F19" s="183">
        <v>-34</v>
      </c>
      <c r="G19" s="174">
        <v>15</v>
      </c>
      <c r="H19" s="174">
        <f t="shared" si="0"/>
        <v>5.0377974539971335</v>
      </c>
      <c r="I19" s="184">
        <v>3.89</v>
      </c>
      <c r="J19" s="185">
        <f t="shared" si="2"/>
        <v>0.29506361285273353</v>
      </c>
      <c r="K19" s="399"/>
      <c r="L19" s="399"/>
      <c r="M19" s="400"/>
    </row>
    <row r="20" spans="1:14" x14ac:dyDescent="0.25">
      <c r="A20" s="174">
        <v>19</v>
      </c>
      <c r="B20" s="174" t="s">
        <v>9</v>
      </c>
      <c r="C20" s="174">
        <v>30</v>
      </c>
      <c r="D20" s="174">
        <v>10</v>
      </c>
      <c r="E20" s="174">
        <f t="shared" si="1"/>
        <v>20</v>
      </c>
      <c r="F20" s="183">
        <v>-34</v>
      </c>
      <c r="G20" s="174">
        <v>15</v>
      </c>
      <c r="H20" s="174">
        <f t="shared" si="0"/>
        <v>5.7086815465569636</v>
      </c>
      <c r="I20" s="184">
        <v>4.4400000000000004</v>
      </c>
      <c r="J20" s="185">
        <f t="shared" si="2"/>
        <v>0.28573908706237905</v>
      </c>
      <c r="K20" s="399"/>
      <c r="L20" s="399"/>
      <c r="M20" s="400"/>
    </row>
    <row r="21" spans="1:14" x14ac:dyDescent="0.25">
      <c r="A21" s="174">
        <v>20</v>
      </c>
      <c r="B21" s="174" t="s">
        <v>9</v>
      </c>
      <c r="C21" s="174">
        <v>20</v>
      </c>
      <c r="D21" s="174">
        <v>10</v>
      </c>
      <c r="E21" s="174">
        <f t="shared" si="1"/>
        <v>15</v>
      </c>
      <c r="F21" s="183">
        <v>-34</v>
      </c>
      <c r="G21" s="174">
        <v>15</v>
      </c>
      <c r="H21" s="174">
        <f t="shared" si="0"/>
        <v>3.4911545368258912</v>
      </c>
      <c r="I21" s="184">
        <v>1.46</v>
      </c>
      <c r="J21" s="185">
        <f t="shared" si="2"/>
        <v>1.3912017375519803</v>
      </c>
      <c r="K21" s="399"/>
      <c r="L21" s="399"/>
      <c r="M21" s="400"/>
    </row>
    <row r="22" spans="1:14" x14ac:dyDescent="0.25">
      <c r="A22" s="174">
        <v>21</v>
      </c>
      <c r="B22" s="174" t="s">
        <v>9</v>
      </c>
      <c r="C22" s="174">
        <v>17</v>
      </c>
      <c r="D22" s="174">
        <v>9</v>
      </c>
      <c r="E22" s="174">
        <f t="shared" si="1"/>
        <v>13</v>
      </c>
      <c r="F22" s="183">
        <v>-34</v>
      </c>
      <c r="G22" s="174">
        <v>15</v>
      </c>
      <c r="H22" s="174">
        <f t="shared" si="0"/>
        <v>2.9274220741123074</v>
      </c>
      <c r="I22" s="184">
        <v>2.5299999999999998</v>
      </c>
      <c r="J22" s="185">
        <f t="shared" si="2"/>
        <v>0.15708382375980537</v>
      </c>
      <c r="K22" s="399"/>
      <c r="L22" s="399"/>
      <c r="M22" s="400"/>
    </row>
    <row r="23" spans="1:14" x14ac:dyDescent="0.25">
      <c r="A23" s="174">
        <v>22</v>
      </c>
      <c r="B23" s="174" t="s">
        <v>9</v>
      </c>
      <c r="C23" s="174">
        <v>20</v>
      </c>
      <c r="D23" s="174">
        <v>8</v>
      </c>
      <c r="E23" s="174">
        <f t="shared" si="1"/>
        <v>14</v>
      </c>
      <c r="F23" s="183">
        <v>-34</v>
      </c>
      <c r="G23" s="174">
        <v>15</v>
      </c>
      <c r="H23" s="174">
        <f t="shared" si="0"/>
        <v>3.7048566773898286</v>
      </c>
      <c r="I23" s="184">
        <v>3.62</v>
      </c>
      <c r="J23" s="185">
        <f t="shared" si="2"/>
        <v>2.3441071102162567E-2</v>
      </c>
      <c r="K23" s="399">
        <f>SUM(K2:K22)</f>
        <v>81.22320068929335</v>
      </c>
      <c r="L23" s="399">
        <f>SUM(L2:L22)</f>
        <v>66.2</v>
      </c>
      <c r="M23" s="400">
        <f>ABS(K23-L23)/L23</f>
        <v>0.22693656630352488</v>
      </c>
    </row>
    <row r="24" spans="1:14" x14ac:dyDescent="0.25">
      <c r="A24" s="174">
        <v>23</v>
      </c>
      <c r="B24" s="174" t="s">
        <v>9</v>
      </c>
      <c r="C24" s="174">
        <v>21</v>
      </c>
      <c r="D24" s="174">
        <v>5</v>
      </c>
      <c r="E24" s="174">
        <f t="shared" si="1"/>
        <v>13</v>
      </c>
      <c r="F24" s="183">
        <v>-34</v>
      </c>
      <c r="G24" s="174">
        <v>15</v>
      </c>
      <c r="H24" s="174">
        <f t="shared" si="0"/>
        <v>4.1400000000000006</v>
      </c>
      <c r="I24" s="184">
        <v>4.01</v>
      </c>
      <c r="J24" s="185">
        <f t="shared" si="2"/>
        <v>3.241895261845406E-2</v>
      </c>
      <c r="K24" s="399"/>
      <c r="L24" s="399"/>
      <c r="M24" s="400"/>
    </row>
    <row r="25" spans="1:14" x14ac:dyDescent="0.25">
      <c r="A25" s="174">
        <v>24</v>
      </c>
      <c r="B25" s="174" t="s">
        <v>9</v>
      </c>
      <c r="C25" s="174">
        <v>26</v>
      </c>
      <c r="D25" s="174">
        <v>7</v>
      </c>
      <c r="E25" s="174">
        <f t="shared" si="1"/>
        <v>16.5</v>
      </c>
      <c r="F25" s="183">
        <v>-34</v>
      </c>
      <c r="G25" s="174">
        <v>15</v>
      </c>
      <c r="H25" s="174">
        <f t="shared" si="0"/>
        <v>5.0377974539971335</v>
      </c>
      <c r="I25" s="184">
        <v>4.4800000000000004</v>
      </c>
      <c r="J25" s="185">
        <f t="shared" si="2"/>
        <v>0.12450836026721719</v>
      </c>
      <c r="K25" s="399"/>
      <c r="L25" s="399"/>
      <c r="M25" s="400"/>
    </row>
    <row r="26" spans="1:14" x14ac:dyDescent="0.25">
      <c r="A26" s="174">
        <v>25</v>
      </c>
      <c r="B26" s="174" t="s">
        <v>9</v>
      </c>
      <c r="C26" s="174">
        <v>27</v>
      </c>
      <c r="D26" s="174">
        <v>10</v>
      </c>
      <c r="E26" s="174">
        <f t="shared" si="1"/>
        <v>18.5</v>
      </c>
      <c r="F26" s="183">
        <v>-34</v>
      </c>
      <c r="G26" s="174">
        <v>15</v>
      </c>
      <c r="H26" s="174">
        <f t="shared" si="0"/>
        <v>5.0497736149752299</v>
      </c>
      <c r="I26" s="184">
        <v>5.07</v>
      </c>
      <c r="J26" s="185">
        <f t="shared" si="2"/>
        <v>3.9894250541953379E-3</v>
      </c>
      <c r="K26" s="399"/>
      <c r="L26" s="399"/>
      <c r="M26" s="400"/>
    </row>
    <row r="27" spans="1:14" x14ac:dyDescent="0.25">
      <c r="A27" s="174"/>
      <c r="B27" s="174"/>
      <c r="C27" s="174"/>
      <c r="D27" s="174"/>
      <c r="E27" s="174"/>
      <c r="F27" s="183"/>
      <c r="G27" s="174"/>
      <c r="H27" s="174"/>
      <c r="I27" s="184"/>
      <c r="J27" s="185"/>
      <c r="K27" s="399"/>
      <c r="L27" s="399"/>
      <c r="M27" s="400"/>
    </row>
    <row r="28" spans="1:14" x14ac:dyDescent="0.25">
      <c r="A28" s="174"/>
      <c r="B28" s="174"/>
      <c r="C28" s="174"/>
      <c r="D28" s="174"/>
      <c r="E28" s="174"/>
      <c r="F28" s="183"/>
      <c r="G28" s="174"/>
      <c r="H28" s="174">
        <f>SUM(H2:H27)</f>
        <v>99.155628435655501</v>
      </c>
      <c r="I28" s="184">
        <f>SUM(I2:I26)</f>
        <v>83.38</v>
      </c>
      <c r="J28" s="185">
        <f>(H28/I28)-1</f>
        <v>0.18920158833839662</v>
      </c>
      <c r="K28" s="399"/>
      <c r="L28" s="399"/>
      <c r="M28" s="400"/>
      <c r="N28" s="78"/>
    </row>
    <row r="29" spans="1:14" x14ac:dyDescent="0.25">
      <c r="K29"/>
      <c r="M29" s="79"/>
    </row>
    <row r="30" spans="1:14" x14ac:dyDescent="0.25">
      <c r="K30"/>
      <c r="M30" s="79"/>
    </row>
    <row r="31" spans="1:14" x14ac:dyDescent="0.25">
      <c r="K31"/>
      <c r="M31" s="79"/>
    </row>
    <row r="32" spans="1:14" x14ac:dyDescent="0.25">
      <c r="K32" s="120"/>
      <c r="L32" s="120"/>
      <c r="M32" s="80"/>
    </row>
  </sheetData>
  <mergeCells count="12">
    <mergeCell ref="K2:K8"/>
    <mergeCell ref="L2:L8"/>
    <mergeCell ref="M2:M8"/>
    <mergeCell ref="M9:M15"/>
    <mergeCell ref="K9:K15"/>
    <mergeCell ref="L9:L15"/>
    <mergeCell ref="K16:K22"/>
    <mergeCell ref="L16:L22"/>
    <mergeCell ref="M16:M22"/>
    <mergeCell ref="K23:K28"/>
    <mergeCell ref="L23:L28"/>
    <mergeCell ref="M23:M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AB90-50D1-4C1D-B8E3-6606F908B251}">
  <dimension ref="A1:AU71"/>
  <sheetViews>
    <sheetView workbookViewId="0">
      <selection activeCell="E1" sqref="E1"/>
    </sheetView>
  </sheetViews>
  <sheetFormatPr baseColWidth="10" defaultRowHeight="15" x14ac:dyDescent="0.25"/>
  <cols>
    <col min="8" max="8" width="18.85546875" bestFit="1" customWidth="1"/>
    <col min="9" max="9" width="14.28515625" bestFit="1" customWidth="1"/>
    <col min="10" max="10" width="10.140625" bestFit="1" customWidth="1"/>
    <col min="11" max="11" width="24.42578125" bestFit="1" customWidth="1"/>
    <col min="12" max="12" width="21.28515625" bestFit="1" customWidth="1"/>
    <col min="13" max="13" width="10.140625" bestFit="1" customWidth="1"/>
  </cols>
  <sheetData>
    <row r="1" spans="1:22" x14ac:dyDescent="0.25">
      <c r="A1" s="127" t="s">
        <v>175</v>
      </c>
      <c r="B1" s="127" t="s">
        <v>12</v>
      </c>
      <c r="C1" s="129" t="s">
        <v>184</v>
      </c>
      <c r="D1" s="129" t="s">
        <v>185</v>
      </c>
      <c r="E1" s="129" t="s">
        <v>279</v>
      </c>
      <c r="F1" s="127" t="s">
        <v>31</v>
      </c>
      <c r="G1" s="127" t="s">
        <v>178</v>
      </c>
      <c r="H1" s="124" t="s">
        <v>215</v>
      </c>
      <c r="I1" s="125" t="s">
        <v>218</v>
      </c>
      <c r="J1" s="132" t="s">
        <v>180</v>
      </c>
      <c r="K1" s="124" t="s">
        <v>224</v>
      </c>
      <c r="L1" s="125" t="s">
        <v>227</v>
      </c>
      <c r="M1" s="133" t="s">
        <v>180</v>
      </c>
      <c r="N1" s="97"/>
      <c r="O1" s="97"/>
      <c r="P1" s="97"/>
      <c r="Q1" s="97"/>
      <c r="R1" s="97"/>
      <c r="S1" s="97"/>
      <c r="T1" s="126"/>
      <c r="U1" s="126"/>
      <c r="V1" s="126"/>
    </row>
    <row r="2" spans="1:22" x14ac:dyDescent="0.25">
      <c r="A2" s="32">
        <v>23</v>
      </c>
      <c r="B2" s="32" t="s">
        <v>181</v>
      </c>
      <c r="C2" s="32">
        <v>21.3</v>
      </c>
      <c r="D2" s="32">
        <v>6.1</v>
      </c>
      <c r="E2" s="32">
        <f>AVERAGE(C2:D2)</f>
        <v>13.7</v>
      </c>
      <c r="F2" s="121">
        <v>-31</v>
      </c>
      <c r="G2" s="32">
        <v>11.3</v>
      </c>
      <c r="H2" s="32">
        <f>0.0023*(E2+17)*G2*(C2-D2)^0.5</f>
        <v>3.1107595920650635</v>
      </c>
      <c r="I2" s="123">
        <v>4.24</v>
      </c>
      <c r="J2" s="122">
        <f>(ABS(H2-I2)/I2)</f>
        <v>0.26633028489031524</v>
      </c>
      <c r="K2" s="407">
        <f>SUM(H2:H8)</f>
        <v>22.587400695553033</v>
      </c>
      <c r="L2" s="407">
        <f>SUM(I2:I8)</f>
        <v>36.54</v>
      </c>
      <c r="M2" s="406">
        <f>ABS(K2-L2)/L2</f>
        <v>0.38184453487813264</v>
      </c>
      <c r="N2" s="98"/>
      <c r="O2" s="99"/>
      <c r="P2" s="98"/>
      <c r="Q2" s="99"/>
      <c r="R2" s="98"/>
      <c r="S2" s="97"/>
      <c r="T2" s="126"/>
      <c r="U2" s="126"/>
      <c r="V2" s="126"/>
    </row>
    <row r="3" spans="1:22" x14ac:dyDescent="0.25">
      <c r="A3" s="32">
        <v>24</v>
      </c>
      <c r="B3" s="32" t="s">
        <v>181</v>
      </c>
      <c r="C3" s="32">
        <v>24.9</v>
      </c>
      <c r="D3" s="32">
        <v>9.1</v>
      </c>
      <c r="E3" s="32">
        <f t="shared" ref="E3:E31" si="0">AVERAGE(C3:D3)</f>
        <v>17</v>
      </c>
      <c r="F3" s="121">
        <v>-31</v>
      </c>
      <c r="G3" s="32">
        <v>11.3</v>
      </c>
      <c r="H3" s="32">
        <f t="shared" ref="H3:H30" si="1">0.0023*(E3+17)*G3*(C3-D3)^0.5</f>
        <v>3.5124790291872205</v>
      </c>
      <c r="I3" s="123">
        <v>5.9</v>
      </c>
      <c r="J3" s="122">
        <f t="shared" ref="J3:J30" si="2">(ABS(H3-I3)/I3)</f>
        <v>0.40466457132419992</v>
      </c>
      <c r="K3" s="407"/>
      <c r="L3" s="407"/>
      <c r="M3" s="406"/>
      <c r="N3" s="98"/>
      <c r="O3" s="99"/>
      <c r="P3" s="98"/>
      <c r="Q3" s="99"/>
      <c r="R3" s="98"/>
      <c r="S3" s="97"/>
      <c r="T3" s="126"/>
      <c r="U3" s="126"/>
      <c r="V3" s="126"/>
    </row>
    <row r="4" spans="1:22" x14ac:dyDescent="0.25">
      <c r="A4" s="32">
        <v>25</v>
      </c>
      <c r="B4" s="32" t="s">
        <v>181</v>
      </c>
      <c r="C4" s="32">
        <v>21.9</v>
      </c>
      <c r="D4" s="32">
        <v>10.7</v>
      </c>
      <c r="E4" s="32">
        <f t="shared" si="0"/>
        <v>16.299999999999997</v>
      </c>
      <c r="F4" s="121">
        <v>-31</v>
      </c>
      <c r="G4" s="32">
        <v>11.3</v>
      </c>
      <c r="H4" s="32">
        <f t="shared" si="1"/>
        <v>2.896406572737467</v>
      </c>
      <c r="I4" s="123">
        <v>4.97</v>
      </c>
      <c r="J4" s="122">
        <f t="shared" si="2"/>
        <v>0.41722201755785371</v>
      </c>
      <c r="K4" s="407"/>
      <c r="L4" s="407"/>
      <c r="M4" s="406"/>
      <c r="N4" s="98"/>
      <c r="O4" s="99"/>
      <c r="P4" s="98"/>
      <c r="Q4" s="99"/>
      <c r="R4" s="98"/>
      <c r="S4" s="97"/>
      <c r="T4" s="126"/>
      <c r="U4" s="126"/>
      <c r="V4" s="126"/>
    </row>
    <row r="5" spans="1:22" x14ac:dyDescent="0.25">
      <c r="A5" s="32">
        <v>26</v>
      </c>
      <c r="B5" s="32" t="s">
        <v>181</v>
      </c>
      <c r="C5" s="32">
        <v>21.6</v>
      </c>
      <c r="D5" s="32">
        <v>10.1</v>
      </c>
      <c r="E5" s="32">
        <f t="shared" si="0"/>
        <v>15.850000000000001</v>
      </c>
      <c r="F5" s="121">
        <v>-31</v>
      </c>
      <c r="G5" s="32">
        <v>11.3</v>
      </c>
      <c r="H5" s="32">
        <f t="shared" si="1"/>
        <v>2.8952800215939178</v>
      </c>
      <c r="I5" s="123">
        <v>4.43</v>
      </c>
      <c r="J5" s="122">
        <f t="shared" si="2"/>
        <v>0.34643791837609073</v>
      </c>
      <c r="K5" s="407"/>
      <c r="L5" s="407"/>
      <c r="M5" s="406"/>
      <c r="N5" s="98"/>
      <c r="O5" s="99"/>
      <c r="P5" s="98"/>
      <c r="Q5" s="99"/>
      <c r="R5" s="98"/>
      <c r="S5" s="97"/>
      <c r="T5" s="126"/>
      <c r="U5" s="126"/>
      <c r="V5" s="126"/>
    </row>
    <row r="6" spans="1:22" x14ac:dyDescent="0.25">
      <c r="A6" s="32">
        <v>27</v>
      </c>
      <c r="B6" s="32" t="s">
        <v>181</v>
      </c>
      <c r="C6" s="32">
        <v>25.7</v>
      </c>
      <c r="D6" s="32">
        <v>6.8</v>
      </c>
      <c r="E6" s="32">
        <f t="shared" si="0"/>
        <v>16.25</v>
      </c>
      <c r="F6" s="121">
        <v>-31</v>
      </c>
      <c r="G6" s="32">
        <v>11.3</v>
      </c>
      <c r="H6" s="32">
        <f t="shared" si="1"/>
        <v>3.7568930442937991</v>
      </c>
      <c r="I6" s="123">
        <v>6.56</v>
      </c>
      <c r="J6" s="122">
        <f t="shared" si="2"/>
        <v>0.42730288958935986</v>
      </c>
      <c r="K6" s="407"/>
      <c r="L6" s="407"/>
      <c r="M6" s="406"/>
      <c r="N6" s="98"/>
      <c r="O6" s="99"/>
      <c r="P6" s="98"/>
      <c r="Q6" s="99"/>
      <c r="R6" s="98"/>
      <c r="S6" s="97"/>
      <c r="T6" s="126"/>
      <c r="U6" s="126"/>
      <c r="V6" s="126"/>
    </row>
    <row r="7" spans="1:22" x14ac:dyDescent="0.25">
      <c r="A7" s="32">
        <v>28</v>
      </c>
      <c r="B7" s="32" t="s">
        <v>181</v>
      </c>
      <c r="C7" s="32">
        <v>21.7</v>
      </c>
      <c r="D7" s="32">
        <v>5.3</v>
      </c>
      <c r="E7" s="32">
        <f t="shared" si="0"/>
        <v>13.5</v>
      </c>
      <c r="F7" s="121">
        <v>-31</v>
      </c>
      <c r="G7" s="32">
        <v>11.3</v>
      </c>
      <c r="H7" s="32">
        <f t="shared" si="1"/>
        <v>3.2101700817262007</v>
      </c>
      <c r="I7" s="123">
        <v>5.24</v>
      </c>
      <c r="J7" s="122">
        <f t="shared" si="2"/>
        <v>0.38737212180797698</v>
      </c>
      <c r="K7" s="407"/>
      <c r="L7" s="407"/>
      <c r="M7" s="406"/>
      <c r="N7" s="98"/>
      <c r="O7" s="99"/>
      <c r="P7" s="98"/>
      <c r="Q7" s="99"/>
      <c r="R7" s="98"/>
      <c r="S7" s="97"/>
      <c r="T7" s="126"/>
      <c r="U7" s="126"/>
      <c r="V7" s="126"/>
    </row>
    <row r="8" spans="1:22" x14ac:dyDescent="0.25">
      <c r="A8" s="32">
        <v>29</v>
      </c>
      <c r="B8" s="32" t="s">
        <v>181</v>
      </c>
      <c r="C8" s="32">
        <v>23.1</v>
      </c>
      <c r="D8" s="32">
        <v>9.3000000000000007</v>
      </c>
      <c r="E8" s="32">
        <f t="shared" si="0"/>
        <v>16.200000000000003</v>
      </c>
      <c r="F8" s="121">
        <v>-31</v>
      </c>
      <c r="G8" s="32">
        <v>11.3</v>
      </c>
      <c r="H8" s="32">
        <f t="shared" si="1"/>
        <v>3.2054123539493644</v>
      </c>
      <c r="I8" s="123">
        <v>5.2</v>
      </c>
      <c r="J8" s="122">
        <f t="shared" si="2"/>
        <v>0.38357454731742996</v>
      </c>
      <c r="K8" s="407"/>
      <c r="L8" s="407"/>
      <c r="M8" s="406"/>
      <c r="N8" s="98"/>
      <c r="O8" s="99"/>
      <c r="P8" s="98"/>
      <c r="Q8" s="99"/>
      <c r="R8" s="98"/>
      <c r="S8" s="97"/>
      <c r="T8" s="126"/>
      <c r="U8" s="126"/>
      <c r="V8" s="126"/>
    </row>
    <row r="9" spans="1:22" x14ac:dyDescent="0.25">
      <c r="A9" s="32">
        <v>30</v>
      </c>
      <c r="B9" s="32" t="s">
        <v>181</v>
      </c>
      <c r="C9" s="32">
        <v>21.6</v>
      </c>
      <c r="D9" s="32">
        <v>5.7</v>
      </c>
      <c r="E9" s="32">
        <f t="shared" si="0"/>
        <v>13.65</v>
      </c>
      <c r="F9" s="121">
        <v>-31</v>
      </c>
      <c r="G9" s="32">
        <v>11.3</v>
      </c>
      <c r="H9" s="32">
        <f t="shared" si="1"/>
        <v>3.1764009739722376</v>
      </c>
      <c r="I9" s="123">
        <v>4.87</v>
      </c>
      <c r="J9" s="122">
        <f t="shared" si="2"/>
        <v>0.3477616069872202</v>
      </c>
      <c r="K9" s="407">
        <f>SUM(H9:H15)</f>
        <v>19.935848801008159</v>
      </c>
      <c r="L9" s="407">
        <f>SUM(I9:I15)</f>
        <v>32.840000000000003</v>
      </c>
      <c r="M9" s="406">
        <f>ABS(K9-L9)/L9</f>
        <v>0.3929400486903728</v>
      </c>
      <c r="N9" s="98"/>
      <c r="O9" s="99"/>
      <c r="P9" s="98"/>
      <c r="Q9" s="99"/>
      <c r="R9" s="98"/>
      <c r="S9" s="97"/>
      <c r="T9" s="126"/>
      <c r="U9" s="126"/>
      <c r="V9" s="126"/>
    </row>
    <row r="10" spans="1:22" x14ac:dyDescent="0.25">
      <c r="A10" s="32">
        <v>1</v>
      </c>
      <c r="B10" s="32" t="s">
        <v>182</v>
      </c>
      <c r="C10" s="32">
        <v>22.6</v>
      </c>
      <c r="D10" s="32">
        <v>6</v>
      </c>
      <c r="E10" s="32">
        <f t="shared" si="0"/>
        <v>14.3</v>
      </c>
      <c r="F10" s="121">
        <v>-31</v>
      </c>
      <c r="G10" s="32">
        <v>10.6</v>
      </c>
      <c r="H10" s="32">
        <f t="shared" si="1"/>
        <v>3.1090813300841131</v>
      </c>
      <c r="I10" s="123">
        <v>4.9800000000000004</v>
      </c>
      <c r="J10" s="122">
        <f t="shared" si="2"/>
        <v>0.37568647990278858</v>
      </c>
      <c r="K10" s="407"/>
      <c r="L10" s="407"/>
      <c r="M10" s="406"/>
      <c r="N10" s="98"/>
      <c r="O10" s="99"/>
      <c r="P10" s="98"/>
      <c r="Q10" s="99"/>
      <c r="R10" s="98"/>
      <c r="S10" s="97"/>
      <c r="T10" s="126"/>
      <c r="U10" s="126"/>
      <c r="V10" s="126"/>
    </row>
    <row r="11" spans="1:22" x14ac:dyDescent="0.25">
      <c r="A11" s="32">
        <v>2</v>
      </c>
      <c r="B11" s="32" t="s">
        <v>182</v>
      </c>
      <c r="C11" s="32">
        <v>24.8</v>
      </c>
      <c r="D11" s="32">
        <v>7.1</v>
      </c>
      <c r="E11" s="32">
        <f t="shared" si="0"/>
        <v>15.95</v>
      </c>
      <c r="F11" s="121">
        <v>-31</v>
      </c>
      <c r="G11" s="32">
        <v>10.6</v>
      </c>
      <c r="H11" s="32">
        <f t="shared" si="1"/>
        <v>3.3796813361655418</v>
      </c>
      <c r="I11" s="123">
        <v>7.43</v>
      </c>
      <c r="J11" s="122">
        <f t="shared" si="2"/>
        <v>0.54513037198310343</v>
      </c>
      <c r="K11" s="407"/>
      <c r="L11" s="407"/>
      <c r="M11" s="406"/>
      <c r="N11" s="98"/>
      <c r="O11" s="99"/>
      <c r="P11" s="98"/>
      <c r="Q11" s="99"/>
      <c r="R11" s="98"/>
      <c r="S11" s="97"/>
      <c r="T11" s="126"/>
      <c r="U11" s="126"/>
      <c r="V11" s="126"/>
    </row>
    <row r="12" spans="1:22" x14ac:dyDescent="0.25">
      <c r="A12" s="32">
        <v>3</v>
      </c>
      <c r="B12" s="32" t="s">
        <v>182</v>
      </c>
      <c r="C12" s="32">
        <v>21.4</v>
      </c>
      <c r="D12" s="32">
        <v>6.9</v>
      </c>
      <c r="E12" s="32">
        <f t="shared" si="0"/>
        <v>14.149999999999999</v>
      </c>
      <c r="F12" s="121">
        <v>-31</v>
      </c>
      <c r="G12" s="32">
        <v>10.6</v>
      </c>
      <c r="H12" s="32">
        <f t="shared" si="1"/>
        <v>2.8918499400989846</v>
      </c>
      <c r="I12" s="123">
        <v>4.96</v>
      </c>
      <c r="J12" s="122">
        <f t="shared" si="2"/>
        <v>0.41696573788326924</v>
      </c>
      <c r="K12" s="407"/>
      <c r="L12" s="407"/>
      <c r="M12" s="406"/>
      <c r="N12" s="98"/>
      <c r="O12" s="99"/>
      <c r="P12" s="98"/>
      <c r="Q12" s="99"/>
      <c r="R12" s="98"/>
      <c r="S12" s="97"/>
      <c r="T12" s="126"/>
      <c r="U12" s="126"/>
      <c r="V12" s="126"/>
    </row>
    <row r="13" spans="1:22" x14ac:dyDescent="0.25">
      <c r="A13" s="32">
        <v>4</v>
      </c>
      <c r="B13" s="32" t="s">
        <v>182</v>
      </c>
      <c r="C13" s="32">
        <v>19.7</v>
      </c>
      <c r="D13" s="32">
        <v>8.6999999999999993</v>
      </c>
      <c r="E13" s="32">
        <f t="shared" si="0"/>
        <v>14.2</v>
      </c>
      <c r="F13" s="121">
        <v>-31</v>
      </c>
      <c r="G13" s="32">
        <v>10.6</v>
      </c>
      <c r="H13" s="32">
        <f t="shared" si="1"/>
        <v>2.5228105465325767</v>
      </c>
      <c r="I13" s="123">
        <v>3.93</v>
      </c>
      <c r="J13" s="122">
        <f t="shared" si="2"/>
        <v>0.35806347416473877</v>
      </c>
      <c r="K13" s="407"/>
      <c r="L13" s="407"/>
      <c r="M13" s="406"/>
      <c r="N13" s="98"/>
      <c r="O13" s="99"/>
      <c r="P13" s="98"/>
      <c r="Q13" s="99"/>
      <c r="R13" s="98"/>
      <c r="S13" s="97"/>
      <c r="T13" s="126"/>
      <c r="U13" s="126"/>
      <c r="V13" s="126"/>
    </row>
    <row r="14" spans="1:22" x14ac:dyDescent="0.25">
      <c r="A14" s="32">
        <v>5</v>
      </c>
      <c r="B14" s="32" t="s">
        <v>182</v>
      </c>
      <c r="C14" s="32">
        <v>21.1</v>
      </c>
      <c r="D14" s="32">
        <v>6.2</v>
      </c>
      <c r="E14" s="32">
        <f t="shared" si="0"/>
        <v>13.65</v>
      </c>
      <c r="F14" s="121">
        <v>-31</v>
      </c>
      <c r="G14" s="32">
        <v>10.6</v>
      </c>
      <c r="H14" s="32">
        <f t="shared" si="1"/>
        <v>2.8844121372012879</v>
      </c>
      <c r="I14" s="123">
        <v>3.69</v>
      </c>
      <c r="J14" s="122">
        <f t="shared" si="2"/>
        <v>0.21831649398339081</v>
      </c>
      <c r="K14" s="407"/>
      <c r="L14" s="407"/>
      <c r="M14" s="406"/>
      <c r="N14" s="98"/>
      <c r="O14" s="99"/>
      <c r="P14" s="98"/>
      <c r="Q14" s="99"/>
      <c r="R14" s="98"/>
      <c r="S14" s="97"/>
      <c r="T14" s="126"/>
      <c r="U14" s="126"/>
      <c r="V14" s="126"/>
    </row>
    <row r="15" spans="1:22" x14ac:dyDescent="0.25">
      <c r="A15" s="32">
        <v>6</v>
      </c>
      <c r="B15" s="32" t="s">
        <v>182</v>
      </c>
      <c r="C15" s="32">
        <v>16.899999999999999</v>
      </c>
      <c r="D15" s="32">
        <v>9.8000000000000007</v>
      </c>
      <c r="E15" s="32">
        <f t="shared" si="0"/>
        <v>13.35</v>
      </c>
      <c r="F15" s="121">
        <v>-31</v>
      </c>
      <c r="G15" s="32">
        <v>10.6</v>
      </c>
      <c r="H15" s="32">
        <f t="shared" si="1"/>
        <v>1.9716125369534196</v>
      </c>
      <c r="I15" s="123">
        <v>2.98</v>
      </c>
      <c r="J15" s="122">
        <f t="shared" si="2"/>
        <v>0.33838505471361757</v>
      </c>
      <c r="K15" s="407"/>
      <c r="L15" s="407"/>
      <c r="M15" s="406"/>
      <c r="N15" s="98"/>
      <c r="O15" s="99"/>
      <c r="P15" s="98"/>
      <c r="Q15" s="99"/>
      <c r="R15" s="98"/>
      <c r="S15" s="97"/>
      <c r="T15" s="126"/>
      <c r="U15" s="126"/>
      <c r="V15" s="126"/>
    </row>
    <row r="16" spans="1:22" x14ac:dyDescent="0.25">
      <c r="A16" s="32">
        <v>7</v>
      </c>
      <c r="B16" s="32" t="s">
        <v>182</v>
      </c>
      <c r="C16" s="32">
        <v>16.899999999999999</v>
      </c>
      <c r="D16" s="32">
        <v>8.5</v>
      </c>
      <c r="E16" s="32">
        <f t="shared" si="0"/>
        <v>12.7</v>
      </c>
      <c r="F16" s="121">
        <v>-31</v>
      </c>
      <c r="G16" s="32">
        <v>10.6</v>
      </c>
      <c r="H16" s="32">
        <f t="shared" si="1"/>
        <v>2.0986006045282646</v>
      </c>
      <c r="I16" s="123">
        <v>2.5</v>
      </c>
      <c r="J16" s="122">
        <f t="shared" si="2"/>
        <v>0.16055975818869417</v>
      </c>
      <c r="K16" s="407">
        <f>SUM(H16:H22)</f>
        <v>20.533695419653931</v>
      </c>
      <c r="L16" s="407">
        <f>SUM(I16:I22)</f>
        <v>32.82</v>
      </c>
      <c r="M16" s="406">
        <f>ABS(K16-L16)/L16</f>
        <v>0.37435419196666875</v>
      </c>
      <c r="N16" s="98"/>
      <c r="O16" s="99"/>
      <c r="P16" s="98"/>
      <c r="Q16" s="99"/>
      <c r="R16" s="98"/>
      <c r="S16" s="97"/>
      <c r="T16" s="126"/>
      <c r="U16" s="126"/>
      <c r="V16" s="126"/>
    </row>
    <row r="17" spans="1:22" x14ac:dyDescent="0.25">
      <c r="A17" s="32">
        <v>8</v>
      </c>
      <c r="B17" s="32" t="s">
        <v>182</v>
      </c>
      <c r="C17" s="32">
        <v>23.9</v>
      </c>
      <c r="D17" s="32">
        <v>6.3</v>
      </c>
      <c r="E17" s="32">
        <f t="shared" si="0"/>
        <v>15.1</v>
      </c>
      <c r="F17" s="121">
        <v>-31</v>
      </c>
      <c r="G17" s="32">
        <v>10.6</v>
      </c>
      <c r="H17" s="32">
        <f t="shared" si="1"/>
        <v>3.2831828278410566</v>
      </c>
      <c r="I17" s="123">
        <v>5.15</v>
      </c>
      <c r="J17" s="122">
        <f t="shared" si="2"/>
        <v>0.36248877129299878</v>
      </c>
      <c r="K17" s="407"/>
      <c r="L17" s="407"/>
      <c r="M17" s="406"/>
      <c r="N17" s="98"/>
      <c r="O17" s="99"/>
      <c r="P17" s="98"/>
      <c r="Q17" s="99"/>
      <c r="R17" s="98"/>
      <c r="S17" s="97"/>
      <c r="T17" s="126"/>
      <c r="U17" s="126"/>
      <c r="V17" s="126"/>
    </row>
    <row r="18" spans="1:22" x14ac:dyDescent="0.25">
      <c r="A18" s="32">
        <v>9</v>
      </c>
      <c r="B18" s="32" t="s">
        <v>182</v>
      </c>
      <c r="C18" s="32">
        <v>25.4</v>
      </c>
      <c r="D18" s="32">
        <v>5.4</v>
      </c>
      <c r="E18" s="32">
        <f t="shared" si="0"/>
        <v>15.399999999999999</v>
      </c>
      <c r="F18" s="121">
        <v>-31</v>
      </c>
      <c r="G18" s="32">
        <v>10.6</v>
      </c>
      <c r="H18" s="32">
        <f t="shared" si="1"/>
        <v>3.5325938564856272</v>
      </c>
      <c r="I18" s="123">
        <v>6.87</v>
      </c>
      <c r="J18" s="122">
        <f t="shared" si="2"/>
        <v>0.48579419847370786</v>
      </c>
      <c r="K18" s="407"/>
      <c r="L18" s="407"/>
      <c r="M18" s="406"/>
      <c r="N18" s="98"/>
      <c r="O18" s="99"/>
      <c r="P18" s="98"/>
      <c r="Q18" s="99"/>
      <c r="R18" s="98"/>
      <c r="S18" s="97"/>
      <c r="T18" s="126"/>
      <c r="U18" s="126"/>
      <c r="V18" s="126"/>
    </row>
    <row r="19" spans="1:22" x14ac:dyDescent="0.25">
      <c r="A19" s="32">
        <v>10</v>
      </c>
      <c r="B19" s="32" t="s">
        <v>182</v>
      </c>
      <c r="C19" s="32">
        <v>19.600000000000001</v>
      </c>
      <c r="D19" s="32">
        <v>7.4</v>
      </c>
      <c r="E19" s="32">
        <f t="shared" si="0"/>
        <v>13.5</v>
      </c>
      <c r="F19" s="121">
        <v>-31</v>
      </c>
      <c r="G19" s="32">
        <v>10.6</v>
      </c>
      <c r="H19" s="32">
        <f t="shared" si="1"/>
        <v>2.5972482120159404</v>
      </c>
      <c r="I19" s="123">
        <v>3.9</v>
      </c>
      <c r="J19" s="122">
        <f t="shared" si="2"/>
        <v>0.33403891999591273</v>
      </c>
      <c r="K19" s="407"/>
      <c r="L19" s="407"/>
      <c r="M19" s="406"/>
      <c r="N19" s="98"/>
      <c r="O19" s="99"/>
      <c r="P19" s="98"/>
      <c r="Q19" s="99"/>
      <c r="R19" s="98"/>
      <c r="S19" s="97"/>
      <c r="T19" s="126"/>
      <c r="U19" s="126"/>
      <c r="V19" s="126"/>
    </row>
    <row r="20" spans="1:22" x14ac:dyDescent="0.25">
      <c r="A20" s="32">
        <v>11</v>
      </c>
      <c r="B20" s="32" t="s">
        <v>182</v>
      </c>
      <c r="C20" s="32">
        <v>21.7</v>
      </c>
      <c r="D20" s="32">
        <v>8.3000000000000007</v>
      </c>
      <c r="E20" s="32">
        <f t="shared" si="0"/>
        <v>15</v>
      </c>
      <c r="F20" s="121">
        <v>-31</v>
      </c>
      <c r="G20" s="32">
        <v>10.6</v>
      </c>
      <c r="H20" s="32">
        <f t="shared" si="1"/>
        <v>2.8558545101317745</v>
      </c>
      <c r="I20" s="123">
        <v>4.7300000000000004</v>
      </c>
      <c r="J20" s="122">
        <f t="shared" si="2"/>
        <v>0.39622526212858894</v>
      </c>
      <c r="K20" s="407"/>
      <c r="L20" s="407"/>
      <c r="M20" s="406"/>
      <c r="N20" s="98"/>
      <c r="O20" s="99"/>
      <c r="P20" s="98"/>
      <c r="Q20" s="99"/>
      <c r="R20" s="98"/>
      <c r="S20" s="97"/>
      <c r="T20" s="126"/>
      <c r="U20" s="126"/>
      <c r="V20" s="126"/>
    </row>
    <row r="21" spans="1:22" x14ac:dyDescent="0.25">
      <c r="A21" s="32">
        <v>12</v>
      </c>
      <c r="B21" s="32" t="s">
        <v>182</v>
      </c>
      <c r="C21" s="32">
        <v>21.9</v>
      </c>
      <c r="D21" s="32">
        <v>7.4</v>
      </c>
      <c r="E21" s="32">
        <f t="shared" si="0"/>
        <v>14.649999999999999</v>
      </c>
      <c r="F21" s="121">
        <v>-31</v>
      </c>
      <c r="G21" s="32">
        <v>10.6</v>
      </c>
      <c r="H21" s="32">
        <f t="shared" si="1"/>
        <v>2.9382680771792247</v>
      </c>
      <c r="I21" s="123">
        <v>4.62</v>
      </c>
      <c r="J21" s="122">
        <f t="shared" si="2"/>
        <v>0.36401123870579555</v>
      </c>
      <c r="K21" s="407"/>
      <c r="L21" s="407"/>
      <c r="M21" s="406"/>
      <c r="N21" s="98"/>
      <c r="O21" s="99"/>
      <c r="P21" s="98"/>
      <c r="Q21" s="99"/>
      <c r="R21" s="98"/>
      <c r="S21" s="97"/>
      <c r="T21" s="126"/>
      <c r="U21" s="126"/>
      <c r="V21" s="126"/>
    </row>
    <row r="22" spans="1:22" x14ac:dyDescent="0.25">
      <c r="A22" s="32">
        <v>13</v>
      </c>
      <c r="B22" s="32" t="s">
        <v>182</v>
      </c>
      <c r="C22" s="32">
        <v>23.4</v>
      </c>
      <c r="D22" s="32">
        <v>5.9</v>
      </c>
      <c r="E22" s="32">
        <f t="shared" si="0"/>
        <v>14.649999999999999</v>
      </c>
      <c r="F22" s="121">
        <v>-31</v>
      </c>
      <c r="G22" s="32">
        <v>10.6</v>
      </c>
      <c r="H22" s="32">
        <f t="shared" si="1"/>
        <v>3.2279473314720453</v>
      </c>
      <c r="I22" s="123">
        <v>5.05</v>
      </c>
      <c r="J22" s="122">
        <f t="shared" si="2"/>
        <v>0.36080250861939694</v>
      </c>
      <c r="K22" s="407"/>
      <c r="L22" s="407"/>
      <c r="M22" s="406"/>
      <c r="N22" s="98"/>
      <c r="O22" s="99"/>
      <c r="P22" s="98"/>
      <c r="Q22" s="99"/>
      <c r="R22" s="98"/>
      <c r="S22" s="97"/>
      <c r="T22" s="126"/>
      <c r="U22" s="126"/>
      <c r="V22" s="126"/>
    </row>
    <row r="23" spans="1:22" x14ac:dyDescent="0.25">
      <c r="A23" s="32">
        <v>14</v>
      </c>
      <c r="B23" s="32" t="s">
        <v>182</v>
      </c>
      <c r="C23" s="32">
        <v>19.5</v>
      </c>
      <c r="D23" s="32">
        <v>4.7</v>
      </c>
      <c r="E23" s="32">
        <f t="shared" si="0"/>
        <v>12.1</v>
      </c>
      <c r="F23" s="121">
        <v>-31</v>
      </c>
      <c r="G23" s="32">
        <v>10.6</v>
      </c>
      <c r="H23" s="32">
        <f t="shared" si="1"/>
        <v>2.7293394211250459</v>
      </c>
      <c r="I23" s="123">
        <v>4.83</v>
      </c>
      <c r="J23" s="122">
        <f t="shared" si="2"/>
        <v>0.43491937450827206</v>
      </c>
      <c r="K23" s="407">
        <f>SUM(H23:H29)</f>
        <v>19.758729777211951</v>
      </c>
      <c r="L23" s="407">
        <f>SUM(I23:I29)</f>
        <v>30.56</v>
      </c>
      <c r="M23" s="406">
        <f>ABS(K23-L23)/L23</f>
        <v>0.3534447062430644</v>
      </c>
      <c r="N23" s="98"/>
      <c r="O23" s="99"/>
      <c r="P23" s="98"/>
      <c r="Q23" s="99"/>
      <c r="R23" s="98"/>
      <c r="S23" s="97"/>
      <c r="T23" s="126"/>
      <c r="U23" s="126"/>
      <c r="V23" s="126"/>
    </row>
    <row r="24" spans="1:22" x14ac:dyDescent="0.25">
      <c r="A24" s="32">
        <v>15</v>
      </c>
      <c r="B24" s="32" t="s">
        <v>182</v>
      </c>
      <c r="C24" s="32">
        <v>19.2</v>
      </c>
      <c r="D24" s="32">
        <v>8.4</v>
      </c>
      <c r="E24" s="32">
        <f t="shared" si="0"/>
        <v>13.8</v>
      </c>
      <c r="F24" s="121">
        <v>-31</v>
      </c>
      <c r="G24" s="32">
        <v>10.6</v>
      </c>
      <c r="H24" s="32">
        <f t="shared" si="1"/>
        <v>2.4677223559251553</v>
      </c>
      <c r="I24" s="123">
        <v>3.51</v>
      </c>
      <c r="J24" s="122">
        <f t="shared" si="2"/>
        <v>0.29694519774212097</v>
      </c>
      <c r="K24" s="407"/>
      <c r="L24" s="407"/>
      <c r="M24" s="406"/>
      <c r="N24" s="98"/>
      <c r="O24" s="99"/>
      <c r="P24" s="98"/>
      <c r="Q24" s="99"/>
      <c r="R24" s="98"/>
      <c r="S24" s="97"/>
      <c r="T24" s="126"/>
      <c r="U24" s="126"/>
      <c r="V24" s="126"/>
    </row>
    <row r="25" spans="1:22" x14ac:dyDescent="0.25">
      <c r="A25" s="32">
        <v>16</v>
      </c>
      <c r="B25" s="32" t="s">
        <v>182</v>
      </c>
      <c r="C25" s="32">
        <v>19</v>
      </c>
      <c r="D25" s="32">
        <v>6.1</v>
      </c>
      <c r="E25" s="32">
        <f t="shared" si="0"/>
        <v>12.55</v>
      </c>
      <c r="F25" s="121">
        <v>-31</v>
      </c>
      <c r="G25" s="32">
        <v>10.6</v>
      </c>
      <c r="H25" s="32">
        <f t="shared" si="1"/>
        <v>2.5875338602864502</v>
      </c>
      <c r="I25" s="123">
        <v>3.81</v>
      </c>
      <c r="J25" s="122">
        <f t="shared" si="2"/>
        <v>0.32085725451799207</v>
      </c>
      <c r="K25" s="407"/>
      <c r="L25" s="407"/>
      <c r="M25" s="406"/>
      <c r="N25" s="98"/>
      <c r="O25" s="99"/>
      <c r="P25" s="98"/>
      <c r="Q25" s="99"/>
      <c r="R25" s="98"/>
      <c r="S25" s="97"/>
      <c r="T25" s="126"/>
      <c r="U25" s="126"/>
      <c r="V25" s="126"/>
    </row>
    <row r="26" spans="1:22" x14ac:dyDescent="0.25">
      <c r="A26" s="32">
        <v>17</v>
      </c>
      <c r="B26" s="32" t="s">
        <v>182</v>
      </c>
      <c r="C26" s="32">
        <v>21.9</v>
      </c>
      <c r="D26" s="32">
        <v>4.7</v>
      </c>
      <c r="E26" s="32">
        <f t="shared" si="0"/>
        <v>13.299999999999999</v>
      </c>
      <c r="F26" s="121">
        <v>-31</v>
      </c>
      <c r="G26" s="32">
        <v>10.6</v>
      </c>
      <c r="H26" s="32">
        <f t="shared" si="1"/>
        <v>3.0636599075764259</v>
      </c>
      <c r="I26" s="123">
        <v>5.44</v>
      </c>
      <c r="J26" s="122">
        <f t="shared" si="2"/>
        <v>0.43682722287198056</v>
      </c>
      <c r="K26" s="407"/>
      <c r="L26" s="407"/>
      <c r="M26" s="406"/>
      <c r="N26" s="98"/>
      <c r="O26" s="99"/>
      <c r="P26" s="98"/>
      <c r="Q26" s="99"/>
      <c r="R26" s="98"/>
      <c r="S26" s="97"/>
      <c r="T26" s="126"/>
      <c r="U26" s="126"/>
      <c r="V26" s="126"/>
    </row>
    <row r="27" spans="1:22" x14ac:dyDescent="0.25">
      <c r="A27" s="32">
        <v>18</v>
      </c>
      <c r="B27" s="32" t="s">
        <v>182</v>
      </c>
      <c r="C27" s="32">
        <v>20.7</v>
      </c>
      <c r="D27" s="32">
        <v>8.9</v>
      </c>
      <c r="E27" s="32">
        <f t="shared" si="0"/>
        <v>14.8</v>
      </c>
      <c r="F27" s="121">
        <v>-31</v>
      </c>
      <c r="G27" s="32">
        <v>10.6</v>
      </c>
      <c r="H27" s="32">
        <f t="shared" si="1"/>
        <v>2.663187997821558</v>
      </c>
      <c r="I27" s="123">
        <v>3.86</v>
      </c>
      <c r="J27" s="122">
        <f t="shared" si="2"/>
        <v>0.31005492284415592</v>
      </c>
      <c r="K27" s="407"/>
      <c r="L27" s="407"/>
      <c r="M27" s="406"/>
      <c r="N27" s="98"/>
      <c r="O27" s="99"/>
      <c r="P27" s="98"/>
      <c r="Q27" s="99"/>
      <c r="R27" s="98"/>
      <c r="S27" s="97"/>
      <c r="T27" s="126"/>
      <c r="U27" s="126"/>
      <c r="V27" s="126"/>
    </row>
    <row r="28" spans="1:22" x14ac:dyDescent="0.25">
      <c r="A28" s="32">
        <v>19</v>
      </c>
      <c r="B28" s="32" t="s">
        <v>182</v>
      </c>
      <c r="C28" s="32">
        <v>20.399999999999999</v>
      </c>
      <c r="D28" s="32">
        <v>8</v>
      </c>
      <c r="E28" s="32">
        <f t="shared" si="0"/>
        <v>14.2</v>
      </c>
      <c r="F28" s="121">
        <v>-31</v>
      </c>
      <c r="G28" s="32">
        <v>10.6</v>
      </c>
      <c r="H28" s="32">
        <f t="shared" si="1"/>
        <v>2.6785461773444181</v>
      </c>
      <c r="I28" s="123">
        <v>2.74</v>
      </c>
      <c r="J28" s="122">
        <f t="shared" si="2"/>
        <v>2.2428402429044553E-2</v>
      </c>
      <c r="K28" s="407"/>
      <c r="L28" s="407"/>
      <c r="M28" s="406"/>
      <c r="N28" s="98"/>
      <c r="O28" s="99"/>
      <c r="P28" s="98"/>
      <c r="Q28" s="99"/>
      <c r="R28" s="98"/>
      <c r="S28" s="97"/>
      <c r="T28" s="126"/>
      <c r="U28" s="126"/>
      <c r="V28" s="126"/>
    </row>
    <row r="29" spans="1:22" x14ac:dyDescent="0.25">
      <c r="A29" s="32">
        <v>20</v>
      </c>
      <c r="B29" s="32" t="s">
        <v>182</v>
      </c>
      <c r="C29" s="32">
        <v>25.7</v>
      </c>
      <c r="D29" s="32">
        <v>5.6</v>
      </c>
      <c r="E29" s="32">
        <f t="shared" si="0"/>
        <v>15.649999999999999</v>
      </c>
      <c r="F29" s="121">
        <v>-31</v>
      </c>
      <c r="G29" s="32">
        <v>10.6</v>
      </c>
      <c r="H29" s="32">
        <f t="shared" si="1"/>
        <v>3.5687400571328949</v>
      </c>
      <c r="I29" s="123">
        <v>6.37</v>
      </c>
      <c r="J29" s="122">
        <f t="shared" si="2"/>
        <v>0.43975823278918447</v>
      </c>
      <c r="K29" s="407"/>
      <c r="L29" s="407"/>
      <c r="M29" s="406"/>
      <c r="N29" s="98"/>
      <c r="O29" s="99"/>
      <c r="P29" s="98"/>
      <c r="Q29" s="99"/>
      <c r="R29" s="98"/>
      <c r="S29" s="97"/>
      <c r="T29" s="126"/>
      <c r="U29" s="126"/>
      <c r="V29" s="126"/>
    </row>
    <row r="30" spans="1:22" x14ac:dyDescent="0.25">
      <c r="A30" s="32">
        <v>21</v>
      </c>
      <c r="B30" s="32" t="s">
        <v>182</v>
      </c>
      <c r="C30" s="32">
        <v>21.9</v>
      </c>
      <c r="D30" s="32">
        <v>7.3</v>
      </c>
      <c r="E30" s="32">
        <f t="shared" si="0"/>
        <v>14.6</v>
      </c>
      <c r="F30" s="121">
        <v>-31</v>
      </c>
      <c r="G30" s="32">
        <v>10.6</v>
      </c>
      <c r="H30" s="32">
        <f t="shared" si="1"/>
        <v>2.943724834690634</v>
      </c>
      <c r="I30" s="123">
        <v>3.98</v>
      </c>
      <c r="J30" s="122">
        <f t="shared" si="2"/>
        <v>0.26037064455009196</v>
      </c>
      <c r="K30" s="405">
        <f ca="1">AVERAGE(K2:K30)</f>
        <v>20.703918673356767</v>
      </c>
      <c r="L30" s="405">
        <f ca="1">AVERAGE(L2:L30)</f>
        <v>33.19</v>
      </c>
      <c r="M30" s="406">
        <f ca="1">ABS(K30-L30)/L30</f>
        <v>0.37620010023028716</v>
      </c>
      <c r="N30" s="98"/>
      <c r="O30" s="99"/>
      <c r="P30" s="98"/>
      <c r="Q30" s="99"/>
      <c r="R30" s="98"/>
      <c r="S30" s="97"/>
      <c r="T30" s="126"/>
      <c r="U30" s="126"/>
      <c r="V30" s="126"/>
    </row>
    <row r="31" spans="1:22" x14ac:dyDescent="0.25">
      <c r="A31" s="32">
        <v>22</v>
      </c>
      <c r="B31" s="32" t="s">
        <v>182</v>
      </c>
      <c r="C31" s="32">
        <v>22.7</v>
      </c>
      <c r="D31" s="32">
        <v>9.6999999999999993</v>
      </c>
      <c r="E31" s="32">
        <f t="shared" si="0"/>
        <v>16.2</v>
      </c>
      <c r="F31" s="121">
        <v>-31</v>
      </c>
      <c r="G31" s="32">
        <v>10.6</v>
      </c>
      <c r="H31" s="32"/>
      <c r="I31" s="123"/>
      <c r="J31" s="122"/>
      <c r="K31" s="405"/>
      <c r="L31" s="405"/>
      <c r="M31" s="406"/>
      <c r="N31" s="98"/>
      <c r="O31" s="99"/>
      <c r="P31" s="98"/>
      <c r="Q31" s="99"/>
      <c r="R31" s="98"/>
      <c r="S31" s="97"/>
      <c r="T31" s="126"/>
      <c r="U31" s="126"/>
      <c r="V31" s="126"/>
    </row>
    <row r="32" spans="1:22" x14ac:dyDescent="0.25">
      <c r="A32" s="128"/>
      <c r="B32" s="128"/>
      <c r="C32" s="128"/>
      <c r="D32" s="128"/>
      <c r="E32" s="128"/>
      <c r="F32" s="128"/>
      <c r="G32" s="128"/>
      <c r="H32" s="119">
        <f>SUM(H2:H31)</f>
        <v>85.759399528117711</v>
      </c>
      <c r="I32" s="130">
        <f>SUM(I2:I31)</f>
        <v>136.74</v>
      </c>
      <c r="J32" s="131">
        <f>AVERAGE(J2:J30)</f>
        <v>0.35238949931514801</v>
      </c>
      <c r="K32" s="405"/>
      <c r="L32" s="405"/>
      <c r="M32" s="406"/>
      <c r="N32" s="97"/>
      <c r="O32" s="97"/>
      <c r="P32" s="97"/>
      <c r="Q32" s="97"/>
      <c r="R32" s="97"/>
      <c r="S32" s="97"/>
      <c r="T32" s="126"/>
      <c r="U32" s="126"/>
      <c r="V32" s="126"/>
    </row>
    <row r="33" spans="1:47" x14ac:dyDescent="0.25">
      <c r="A33" s="128"/>
      <c r="B33" s="128"/>
      <c r="C33" s="128"/>
      <c r="D33" s="128"/>
      <c r="E33" s="128"/>
      <c r="F33" s="128"/>
      <c r="G33" s="128"/>
      <c r="H33" s="32">
        <f>AVERAGE(H2:H31)</f>
        <v>2.9572206733833695</v>
      </c>
      <c r="I33" s="32">
        <f>AVERAGE(I2:I31)</f>
        <v>4.7151724137931037</v>
      </c>
      <c r="J33" s="127"/>
      <c r="K33" s="405"/>
      <c r="L33" s="405"/>
      <c r="M33" s="406"/>
      <c r="N33" s="79"/>
      <c r="O33" s="100"/>
      <c r="P33" s="79"/>
      <c r="Q33" s="100"/>
      <c r="R33" s="79"/>
      <c r="S33" s="79"/>
    </row>
    <row r="40" spans="1:47" x14ac:dyDescent="0.25">
      <c r="A40" s="89" t="s">
        <v>183</v>
      </c>
      <c r="B40" s="21" t="s">
        <v>184</v>
      </c>
      <c r="C40" s="23" t="s">
        <v>185</v>
      </c>
      <c r="D40" s="24" t="s">
        <v>186</v>
      </c>
      <c r="F40" s="87">
        <v>23</v>
      </c>
      <c r="G40" s="14">
        <v>6.95</v>
      </c>
      <c r="P40" s="89" t="s">
        <v>183</v>
      </c>
      <c r="Q40" s="90">
        <v>24</v>
      </c>
      <c r="R40" s="90">
        <v>25</v>
      </c>
      <c r="S40" s="90">
        <v>26</v>
      </c>
      <c r="T40" s="90">
        <v>27</v>
      </c>
      <c r="U40" s="90">
        <v>28</v>
      </c>
      <c r="V40" s="90">
        <v>29</v>
      </c>
      <c r="W40" s="90">
        <v>30</v>
      </c>
      <c r="X40" s="90">
        <v>1</v>
      </c>
      <c r="Y40" s="90">
        <v>2</v>
      </c>
      <c r="Z40" s="90">
        <v>3</v>
      </c>
      <c r="AA40" s="90">
        <v>4</v>
      </c>
      <c r="AB40" s="90">
        <v>5</v>
      </c>
      <c r="AC40" s="90">
        <v>6</v>
      </c>
      <c r="AD40" s="90">
        <v>7</v>
      </c>
      <c r="AE40" s="90">
        <v>8</v>
      </c>
      <c r="AF40" s="90">
        <v>9</v>
      </c>
      <c r="AG40" s="90">
        <v>10</v>
      </c>
      <c r="AH40" s="90">
        <v>11</v>
      </c>
      <c r="AI40" s="90">
        <v>12</v>
      </c>
      <c r="AJ40" s="90">
        <v>13</v>
      </c>
      <c r="AK40" s="90">
        <v>14</v>
      </c>
      <c r="AL40" s="90">
        <v>15</v>
      </c>
      <c r="AM40" s="90">
        <v>16</v>
      </c>
      <c r="AN40" s="90">
        <v>17</v>
      </c>
      <c r="AO40" s="90">
        <v>18</v>
      </c>
      <c r="AP40" s="90">
        <v>19</v>
      </c>
      <c r="AQ40" s="90">
        <v>20</v>
      </c>
      <c r="AR40" s="90">
        <v>21</v>
      </c>
      <c r="AS40" s="90">
        <v>22</v>
      </c>
      <c r="AT40" s="90">
        <v>23</v>
      </c>
      <c r="AU40" s="22"/>
    </row>
    <row r="41" spans="1:47" x14ac:dyDescent="0.25">
      <c r="A41" s="90">
        <v>24</v>
      </c>
      <c r="B41" s="20">
        <v>21.3</v>
      </c>
      <c r="C41" s="20">
        <v>6.1</v>
      </c>
      <c r="D41" s="20">
        <v>15.2</v>
      </c>
      <c r="F41" s="87">
        <v>24</v>
      </c>
      <c r="G41" s="14">
        <v>4.24</v>
      </c>
      <c r="P41" s="21" t="s">
        <v>184</v>
      </c>
      <c r="Q41" s="20">
        <v>21.3</v>
      </c>
      <c r="R41" s="20">
        <v>24.9</v>
      </c>
      <c r="S41" s="20">
        <v>21.9</v>
      </c>
      <c r="T41" s="20">
        <v>21.6</v>
      </c>
      <c r="U41" s="20">
        <v>25.7</v>
      </c>
      <c r="V41" s="20">
        <v>21.7</v>
      </c>
      <c r="W41" s="20">
        <v>23.1</v>
      </c>
      <c r="X41" s="20">
        <v>21.6</v>
      </c>
      <c r="Y41" s="20">
        <v>22.6</v>
      </c>
      <c r="Z41" s="20">
        <v>24.8</v>
      </c>
      <c r="AA41" s="20">
        <v>21.4</v>
      </c>
      <c r="AB41" s="20">
        <v>19.7</v>
      </c>
      <c r="AC41" s="20">
        <v>21.1</v>
      </c>
      <c r="AD41" s="20">
        <v>16.899999999999999</v>
      </c>
      <c r="AE41" s="20">
        <v>16.899999999999999</v>
      </c>
      <c r="AF41" s="20">
        <v>23.9</v>
      </c>
      <c r="AG41" s="20">
        <v>25.4</v>
      </c>
      <c r="AH41" s="20">
        <v>19.600000000000001</v>
      </c>
      <c r="AI41" s="20">
        <v>21.7</v>
      </c>
      <c r="AJ41" s="20">
        <v>21.9</v>
      </c>
      <c r="AK41" s="20">
        <v>23.4</v>
      </c>
      <c r="AL41" s="20">
        <v>19.5</v>
      </c>
      <c r="AM41" s="20">
        <v>19.2</v>
      </c>
      <c r="AN41" s="20">
        <v>19</v>
      </c>
      <c r="AO41" s="20">
        <v>21.9</v>
      </c>
      <c r="AP41" s="20">
        <v>20.7</v>
      </c>
      <c r="AQ41" s="20">
        <v>20.399999999999999</v>
      </c>
      <c r="AR41" s="20">
        <v>25.7</v>
      </c>
      <c r="AS41" s="20">
        <v>21.9</v>
      </c>
      <c r="AT41" s="20">
        <v>22.7</v>
      </c>
      <c r="AU41" s="22"/>
    </row>
    <row r="42" spans="1:47" x14ac:dyDescent="0.25">
      <c r="A42" s="90">
        <v>25</v>
      </c>
      <c r="B42" s="20">
        <v>24.9</v>
      </c>
      <c r="C42" s="20">
        <v>9.1</v>
      </c>
      <c r="D42" s="20">
        <v>15.8</v>
      </c>
      <c r="F42" s="87">
        <v>25</v>
      </c>
      <c r="G42" s="14">
        <v>5.9</v>
      </c>
      <c r="P42" s="23" t="s">
        <v>185</v>
      </c>
      <c r="Q42" s="20">
        <v>6.1</v>
      </c>
      <c r="R42" s="20">
        <v>9.1</v>
      </c>
      <c r="S42" s="20">
        <v>10.7</v>
      </c>
      <c r="T42" s="20">
        <v>10.1</v>
      </c>
      <c r="U42" s="20">
        <v>6.8</v>
      </c>
      <c r="V42" s="20">
        <v>5.3</v>
      </c>
      <c r="W42" s="20">
        <v>9.3000000000000007</v>
      </c>
      <c r="X42" s="20">
        <v>5.7</v>
      </c>
      <c r="Y42" s="20">
        <v>6</v>
      </c>
      <c r="Z42" s="20">
        <v>7.1</v>
      </c>
      <c r="AA42" s="20">
        <v>6.9</v>
      </c>
      <c r="AB42" s="20">
        <v>8.6999999999999993</v>
      </c>
      <c r="AC42" s="20">
        <v>6.2</v>
      </c>
      <c r="AD42" s="20">
        <v>9.8000000000000007</v>
      </c>
      <c r="AE42" s="20">
        <v>8.5</v>
      </c>
      <c r="AF42" s="20">
        <v>6.3</v>
      </c>
      <c r="AG42" s="20">
        <v>5.4</v>
      </c>
      <c r="AH42" s="20">
        <v>7.4</v>
      </c>
      <c r="AI42" s="20">
        <v>8.3000000000000007</v>
      </c>
      <c r="AJ42" s="20">
        <v>7.4</v>
      </c>
      <c r="AK42" s="20">
        <v>5.9</v>
      </c>
      <c r="AL42" s="20">
        <v>4.7</v>
      </c>
      <c r="AM42" s="20">
        <v>8.4</v>
      </c>
      <c r="AN42" s="20">
        <v>6.1</v>
      </c>
      <c r="AO42" s="20">
        <v>4.7</v>
      </c>
      <c r="AP42" s="20">
        <v>8.9</v>
      </c>
      <c r="AQ42" s="20">
        <v>8</v>
      </c>
      <c r="AR42" s="20">
        <v>5.6</v>
      </c>
      <c r="AS42" s="20">
        <v>7.3</v>
      </c>
      <c r="AT42" s="20">
        <v>9.6999999999999993</v>
      </c>
      <c r="AU42" s="22"/>
    </row>
    <row r="43" spans="1:47" x14ac:dyDescent="0.25">
      <c r="A43" s="90">
        <v>26</v>
      </c>
      <c r="B43" s="20">
        <v>21.9</v>
      </c>
      <c r="C43" s="20">
        <v>10.7</v>
      </c>
      <c r="D43" s="20">
        <v>11.2</v>
      </c>
      <c r="F43" s="87">
        <v>26</v>
      </c>
      <c r="G43" s="14">
        <v>4.97</v>
      </c>
      <c r="P43" s="24" t="s">
        <v>186</v>
      </c>
      <c r="Q43" s="20">
        <v>15.2</v>
      </c>
      <c r="R43" s="20">
        <v>15.8</v>
      </c>
      <c r="S43" s="20">
        <v>11.2</v>
      </c>
      <c r="T43" s="20">
        <v>11.5</v>
      </c>
      <c r="U43" s="20">
        <v>18.899999999999999</v>
      </c>
      <c r="V43" s="20">
        <v>16.399999999999999</v>
      </c>
      <c r="W43" s="20">
        <v>13.8</v>
      </c>
      <c r="X43" s="20">
        <v>15.9</v>
      </c>
      <c r="Y43" s="20">
        <v>16.600000000000001</v>
      </c>
      <c r="Z43" s="20">
        <v>17.7</v>
      </c>
      <c r="AA43" s="20">
        <v>14.5</v>
      </c>
      <c r="AB43" s="20">
        <v>11</v>
      </c>
      <c r="AC43" s="20">
        <v>14.9</v>
      </c>
      <c r="AD43" s="20">
        <v>7.1</v>
      </c>
      <c r="AE43" s="20">
        <v>8.4</v>
      </c>
      <c r="AF43" s="20">
        <v>17.600000000000001</v>
      </c>
      <c r="AG43" s="20">
        <v>20</v>
      </c>
      <c r="AH43" s="20">
        <v>12.2</v>
      </c>
      <c r="AI43" s="20">
        <v>13.4</v>
      </c>
      <c r="AJ43" s="20">
        <v>14.5</v>
      </c>
      <c r="AK43" s="20">
        <v>17.5</v>
      </c>
      <c r="AL43" s="20">
        <v>14.8</v>
      </c>
      <c r="AM43" s="20">
        <v>10.8</v>
      </c>
      <c r="AN43" s="20">
        <v>12.9</v>
      </c>
      <c r="AO43" s="20">
        <v>17.2</v>
      </c>
      <c r="AP43" s="20">
        <v>11.8</v>
      </c>
      <c r="AQ43" s="20">
        <v>12.4</v>
      </c>
      <c r="AR43" s="20">
        <v>20.100000000000001</v>
      </c>
      <c r="AS43" s="20">
        <v>14.6</v>
      </c>
      <c r="AT43" s="20">
        <v>13</v>
      </c>
      <c r="AU43" s="19"/>
    </row>
    <row r="44" spans="1:47" x14ac:dyDescent="0.25">
      <c r="A44" s="90">
        <v>27</v>
      </c>
      <c r="B44" s="20">
        <v>21.6</v>
      </c>
      <c r="C44" s="20">
        <v>10.1</v>
      </c>
      <c r="D44" s="20">
        <v>11.5</v>
      </c>
      <c r="F44" s="87">
        <v>27</v>
      </c>
      <c r="G44" s="14">
        <v>4.43</v>
      </c>
    </row>
    <row r="45" spans="1:47" x14ac:dyDescent="0.25">
      <c r="A45" s="90">
        <v>28</v>
      </c>
      <c r="B45" s="20">
        <v>25.7</v>
      </c>
      <c r="C45" s="20">
        <v>6.8</v>
      </c>
      <c r="D45" s="20">
        <v>18.899999999999999</v>
      </c>
      <c r="F45" s="87">
        <v>28</v>
      </c>
      <c r="G45" s="14">
        <v>6.56</v>
      </c>
    </row>
    <row r="46" spans="1:47" x14ac:dyDescent="0.25">
      <c r="A46" s="90">
        <v>29</v>
      </c>
      <c r="B46" s="20">
        <v>21.7</v>
      </c>
      <c r="C46" s="20">
        <v>5.3</v>
      </c>
      <c r="D46" s="20">
        <v>16.399999999999999</v>
      </c>
      <c r="F46" s="87">
        <v>29</v>
      </c>
      <c r="G46" s="14">
        <v>5.24</v>
      </c>
      <c r="P46" s="87">
        <v>23</v>
      </c>
      <c r="Q46" s="87">
        <v>24</v>
      </c>
      <c r="R46" s="87">
        <v>25</v>
      </c>
      <c r="S46" s="87">
        <v>26</v>
      </c>
      <c r="T46" s="87">
        <v>27</v>
      </c>
      <c r="U46" s="87">
        <v>28</v>
      </c>
      <c r="V46" s="87">
        <v>29</v>
      </c>
      <c r="W46" s="87">
        <v>30</v>
      </c>
      <c r="X46" s="87">
        <v>1</v>
      </c>
      <c r="Y46" s="87">
        <v>2</v>
      </c>
      <c r="Z46" s="87">
        <v>3</v>
      </c>
      <c r="AA46" s="87">
        <v>4</v>
      </c>
      <c r="AB46" s="87">
        <v>5</v>
      </c>
      <c r="AC46" s="87">
        <v>6</v>
      </c>
      <c r="AD46" s="87">
        <v>7</v>
      </c>
      <c r="AE46" s="87">
        <v>8</v>
      </c>
      <c r="AF46" s="87">
        <v>9</v>
      </c>
      <c r="AG46" s="87">
        <v>10</v>
      </c>
      <c r="AH46" s="87">
        <v>11</v>
      </c>
      <c r="AI46" s="87">
        <v>12</v>
      </c>
      <c r="AJ46" s="87">
        <v>13</v>
      </c>
      <c r="AK46" s="87">
        <v>14</v>
      </c>
      <c r="AL46" s="87">
        <v>15</v>
      </c>
      <c r="AM46" s="87">
        <v>16</v>
      </c>
      <c r="AN46" s="87">
        <v>17</v>
      </c>
      <c r="AO46" s="87">
        <v>18</v>
      </c>
      <c r="AP46" s="87">
        <v>19</v>
      </c>
      <c r="AQ46" s="87">
        <v>20</v>
      </c>
      <c r="AR46" s="87">
        <v>21</v>
      </c>
      <c r="AS46" s="87">
        <v>22</v>
      </c>
      <c r="AT46" s="88"/>
    </row>
    <row r="47" spans="1:47" x14ac:dyDescent="0.25">
      <c r="A47" s="90">
        <v>30</v>
      </c>
      <c r="B47" s="20">
        <v>23.1</v>
      </c>
      <c r="C47" s="20">
        <v>9.3000000000000007</v>
      </c>
      <c r="D47" s="20">
        <v>13.8</v>
      </c>
      <c r="F47" s="87">
        <v>30</v>
      </c>
      <c r="G47" s="14">
        <v>5.2</v>
      </c>
      <c r="P47" s="14">
        <v>6.95</v>
      </c>
      <c r="Q47" s="14">
        <v>4.24</v>
      </c>
      <c r="R47" s="14">
        <v>5.9</v>
      </c>
      <c r="S47" s="14">
        <v>4.97</v>
      </c>
      <c r="T47" s="14">
        <v>4.43</v>
      </c>
      <c r="U47" s="14">
        <v>6.56</v>
      </c>
      <c r="V47" s="14">
        <v>5.24</v>
      </c>
      <c r="W47" s="14">
        <v>5.2</v>
      </c>
      <c r="X47" s="14">
        <v>4.87</v>
      </c>
      <c r="Y47" s="14">
        <v>4.9800000000000004</v>
      </c>
      <c r="Z47" s="14">
        <v>7.43</v>
      </c>
      <c r="AA47" s="14">
        <v>4.96</v>
      </c>
      <c r="AB47" s="14">
        <v>3.93</v>
      </c>
      <c r="AC47" s="14">
        <v>3.69</v>
      </c>
      <c r="AD47" s="14">
        <v>2.98</v>
      </c>
      <c r="AE47" s="14">
        <v>2.5</v>
      </c>
      <c r="AF47" s="14">
        <v>5.15</v>
      </c>
      <c r="AG47" s="14">
        <v>6.87</v>
      </c>
      <c r="AH47" s="14">
        <v>3.9</v>
      </c>
      <c r="AI47" s="14">
        <v>4.7300000000000004</v>
      </c>
      <c r="AJ47" s="14">
        <v>4.62</v>
      </c>
      <c r="AK47" s="14">
        <v>5.05</v>
      </c>
      <c r="AL47" s="14">
        <v>4.83</v>
      </c>
      <c r="AM47" s="14">
        <v>3.51</v>
      </c>
      <c r="AN47" s="14">
        <v>3.81</v>
      </c>
      <c r="AO47" s="14">
        <v>5.44</v>
      </c>
      <c r="AP47" s="14">
        <v>3.86</v>
      </c>
      <c r="AQ47" s="14">
        <v>2.74</v>
      </c>
      <c r="AR47" s="14">
        <v>6.37</v>
      </c>
      <c r="AS47" s="14">
        <v>3.98</v>
      </c>
      <c r="AT47" s="86"/>
    </row>
    <row r="48" spans="1:47" x14ac:dyDescent="0.25">
      <c r="A48" s="90">
        <v>1</v>
      </c>
      <c r="B48" s="20">
        <v>21.6</v>
      </c>
      <c r="C48" s="20">
        <v>5.7</v>
      </c>
      <c r="D48" s="20">
        <v>15.9</v>
      </c>
      <c r="F48" s="87">
        <v>1</v>
      </c>
      <c r="G48" s="14">
        <v>4.87</v>
      </c>
    </row>
    <row r="49" spans="1:47" x14ac:dyDescent="0.25">
      <c r="A49" s="90">
        <v>2</v>
      </c>
      <c r="B49" s="20">
        <v>22.6</v>
      </c>
      <c r="C49" s="20">
        <v>6</v>
      </c>
      <c r="D49" s="20">
        <v>16.600000000000001</v>
      </c>
      <c r="F49" s="87">
        <v>2</v>
      </c>
      <c r="G49" s="14">
        <v>4.9800000000000004</v>
      </c>
      <c r="P49" s="89" t="s">
        <v>183</v>
      </c>
      <c r="Q49" s="90">
        <v>25</v>
      </c>
      <c r="R49" s="90">
        <v>26</v>
      </c>
      <c r="S49" s="90">
        <v>27</v>
      </c>
      <c r="T49" s="90">
        <v>28</v>
      </c>
      <c r="U49" s="90">
        <v>29</v>
      </c>
      <c r="V49" s="90">
        <v>30</v>
      </c>
      <c r="W49" s="90">
        <v>1</v>
      </c>
      <c r="X49" s="90">
        <v>2</v>
      </c>
      <c r="Y49" s="90">
        <v>3</v>
      </c>
      <c r="Z49" s="90">
        <v>4</v>
      </c>
      <c r="AA49" s="90">
        <v>5</v>
      </c>
      <c r="AB49" s="90">
        <v>6</v>
      </c>
      <c r="AC49" s="90">
        <v>7</v>
      </c>
      <c r="AD49" s="90">
        <v>8</v>
      </c>
      <c r="AE49" s="90">
        <v>9</v>
      </c>
      <c r="AF49" s="90">
        <v>10</v>
      </c>
      <c r="AG49" s="90">
        <v>11</v>
      </c>
      <c r="AH49" s="90">
        <v>12</v>
      </c>
      <c r="AI49" s="90">
        <v>13</v>
      </c>
      <c r="AJ49" s="90">
        <v>14</v>
      </c>
      <c r="AK49" s="90">
        <v>15</v>
      </c>
      <c r="AL49" s="90">
        <v>16</v>
      </c>
      <c r="AM49" s="90">
        <v>17</v>
      </c>
      <c r="AN49" s="90">
        <v>18</v>
      </c>
      <c r="AO49" s="90">
        <v>19</v>
      </c>
      <c r="AP49" s="90">
        <v>20</v>
      </c>
      <c r="AQ49" s="90">
        <v>21</v>
      </c>
      <c r="AR49" s="90">
        <v>22</v>
      </c>
      <c r="AS49" s="90">
        <v>23</v>
      </c>
      <c r="AT49" s="90">
        <v>24</v>
      </c>
      <c r="AU49" s="22"/>
    </row>
    <row r="50" spans="1:47" x14ac:dyDescent="0.25">
      <c r="A50" s="90">
        <v>3</v>
      </c>
      <c r="B50" s="20">
        <v>24.8</v>
      </c>
      <c r="C50" s="20">
        <v>7.1</v>
      </c>
      <c r="D50" s="20">
        <v>17.7</v>
      </c>
      <c r="F50" s="87">
        <v>3</v>
      </c>
      <c r="G50" s="14">
        <v>7.43</v>
      </c>
      <c r="P50" s="21" t="s">
        <v>184</v>
      </c>
      <c r="Q50" s="20">
        <v>24.9</v>
      </c>
      <c r="R50" s="20">
        <v>21.9</v>
      </c>
      <c r="S50" s="20">
        <v>21.6</v>
      </c>
      <c r="T50" s="20">
        <v>25.7</v>
      </c>
      <c r="U50" s="20">
        <v>21.7</v>
      </c>
      <c r="V50" s="20">
        <v>23.1</v>
      </c>
      <c r="W50" s="20">
        <v>21.6</v>
      </c>
      <c r="X50" s="20">
        <v>22.6</v>
      </c>
      <c r="Y50" s="20">
        <v>24.8</v>
      </c>
      <c r="Z50" s="20">
        <v>21.4</v>
      </c>
      <c r="AA50" s="20">
        <v>19.7</v>
      </c>
      <c r="AB50" s="20">
        <v>21.1</v>
      </c>
      <c r="AC50" s="20">
        <v>16.899999999999999</v>
      </c>
      <c r="AD50" s="20">
        <v>16.899999999999999</v>
      </c>
      <c r="AE50" s="20">
        <v>23.9</v>
      </c>
      <c r="AF50" s="20">
        <v>25.4</v>
      </c>
      <c r="AG50" s="20">
        <v>19.600000000000001</v>
      </c>
      <c r="AH50" s="20">
        <v>21.7</v>
      </c>
      <c r="AI50" s="20">
        <v>21.9</v>
      </c>
      <c r="AJ50" s="20">
        <v>23.4</v>
      </c>
      <c r="AK50" s="20">
        <v>19.5</v>
      </c>
      <c r="AL50" s="20">
        <v>19.2</v>
      </c>
      <c r="AM50" s="20">
        <v>19</v>
      </c>
      <c r="AN50" s="20">
        <v>21.9</v>
      </c>
      <c r="AO50" s="20">
        <v>20.7</v>
      </c>
      <c r="AP50" s="20">
        <v>20.399999999999999</v>
      </c>
      <c r="AQ50" s="20">
        <v>25.7</v>
      </c>
      <c r="AR50" s="20">
        <v>21.9</v>
      </c>
      <c r="AS50" s="20">
        <v>22.7</v>
      </c>
      <c r="AT50" s="20">
        <v>12.7</v>
      </c>
      <c r="AU50" s="22"/>
    </row>
    <row r="51" spans="1:47" x14ac:dyDescent="0.25">
      <c r="A51" s="90">
        <v>4</v>
      </c>
      <c r="B51" s="20">
        <v>21.4</v>
      </c>
      <c r="C51" s="20">
        <v>6.9</v>
      </c>
      <c r="D51" s="20">
        <v>14.5</v>
      </c>
      <c r="F51" s="87">
        <v>4</v>
      </c>
      <c r="G51" s="14">
        <v>4.96</v>
      </c>
      <c r="P51" s="23" t="s">
        <v>185</v>
      </c>
      <c r="Q51" s="20">
        <v>9.1</v>
      </c>
      <c r="R51" s="20">
        <v>10.7</v>
      </c>
      <c r="S51" s="20">
        <v>10.1</v>
      </c>
      <c r="T51" s="20">
        <v>6.8</v>
      </c>
      <c r="U51" s="20">
        <v>5.3</v>
      </c>
      <c r="V51" s="20">
        <v>9.3000000000000007</v>
      </c>
      <c r="W51" s="20">
        <v>5.7</v>
      </c>
      <c r="X51" s="20">
        <v>6</v>
      </c>
      <c r="Y51" s="20">
        <v>7.1</v>
      </c>
      <c r="Z51" s="20">
        <v>6.9</v>
      </c>
      <c r="AA51" s="20">
        <v>8.6999999999999993</v>
      </c>
      <c r="AB51" s="20">
        <v>6.2</v>
      </c>
      <c r="AC51" s="20">
        <v>9.8000000000000007</v>
      </c>
      <c r="AD51" s="20">
        <v>8.5</v>
      </c>
      <c r="AE51" s="20">
        <v>6.3</v>
      </c>
      <c r="AF51" s="20">
        <v>5.4</v>
      </c>
      <c r="AG51" s="20">
        <v>7.4</v>
      </c>
      <c r="AH51" s="20">
        <v>8.3000000000000007</v>
      </c>
      <c r="AI51" s="20">
        <v>7.4</v>
      </c>
      <c r="AJ51" s="20">
        <v>5.9</v>
      </c>
      <c r="AK51" s="20">
        <v>4.7</v>
      </c>
      <c r="AL51" s="20">
        <v>8.4</v>
      </c>
      <c r="AM51" s="20">
        <v>6.1</v>
      </c>
      <c r="AN51" s="20">
        <v>4.7</v>
      </c>
      <c r="AO51" s="20">
        <v>8.9</v>
      </c>
      <c r="AP51" s="20">
        <v>8</v>
      </c>
      <c r="AQ51" s="20">
        <v>5.6</v>
      </c>
      <c r="AR51" s="20">
        <v>7.3</v>
      </c>
      <c r="AS51" s="20">
        <v>9.6999999999999993</v>
      </c>
      <c r="AT51" s="20">
        <v>11.4</v>
      </c>
      <c r="AU51" s="22"/>
    </row>
    <row r="52" spans="1:47" x14ac:dyDescent="0.25">
      <c r="A52" s="90">
        <v>5</v>
      </c>
      <c r="B52" s="20">
        <v>19.7</v>
      </c>
      <c r="C52" s="20">
        <v>8.6999999999999993</v>
      </c>
      <c r="D52" s="20">
        <v>11</v>
      </c>
      <c r="F52" s="87">
        <v>5</v>
      </c>
      <c r="G52" s="14">
        <v>3.93</v>
      </c>
      <c r="P52" s="24" t="s">
        <v>186</v>
      </c>
      <c r="Q52" s="20">
        <v>15.8</v>
      </c>
      <c r="R52" s="20">
        <v>11.2</v>
      </c>
      <c r="S52" s="20">
        <v>11.5</v>
      </c>
      <c r="T52" s="20">
        <v>18.899999999999999</v>
      </c>
      <c r="U52" s="20">
        <v>16.399999999999999</v>
      </c>
      <c r="V52" s="20">
        <v>13.8</v>
      </c>
      <c r="W52" s="20">
        <v>15.9</v>
      </c>
      <c r="X52" s="20">
        <v>16.600000000000001</v>
      </c>
      <c r="Y52" s="20">
        <v>17.7</v>
      </c>
      <c r="Z52" s="20">
        <v>14.5</v>
      </c>
      <c r="AA52" s="20">
        <v>11</v>
      </c>
      <c r="AB52" s="20">
        <v>14.9</v>
      </c>
      <c r="AC52" s="20">
        <v>7.1</v>
      </c>
      <c r="AD52" s="20">
        <v>8.4</v>
      </c>
      <c r="AE52" s="20">
        <v>17.600000000000001</v>
      </c>
      <c r="AF52" s="20">
        <v>20</v>
      </c>
      <c r="AG52" s="20">
        <v>12.2</v>
      </c>
      <c r="AH52" s="20">
        <v>13.4</v>
      </c>
      <c r="AI52" s="20">
        <v>14.5</v>
      </c>
      <c r="AJ52" s="20">
        <v>17.5</v>
      </c>
      <c r="AK52" s="20">
        <v>14.8</v>
      </c>
      <c r="AL52" s="20">
        <v>10.8</v>
      </c>
      <c r="AM52" s="20">
        <v>12.9</v>
      </c>
      <c r="AN52" s="20">
        <v>17.2</v>
      </c>
      <c r="AO52" s="20">
        <v>11.8</v>
      </c>
      <c r="AP52" s="20">
        <v>12.4</v>
      </c>
      <c r="AQ52" s="20">
        <v>20.100000000000001</v>
      </c>
      <c r="AR52" s="20">
        <v>14.6</v>
      </c>
      <c r="AS52" s="20">
        <v>13</v>
      </c>
      <c r="AT52" s="20">
        <v>1.3</v>
      </c>
      <c r="AU52" s="19"/>
    </row>
    <row r="53" spans="1:47" x14ac:dyDescent="0.25">
      <c r="A53" s="90">
        <v>6</v>
      </c>
      <c r="B53" s="20">
        <v>21.1</v>
      </c>
      <c r="C53" s="20">
        <v>6.2</v>
      </c>
      <c r="D53" s="20">
        <v>14.9</v>
      </c>
      <c r="F53" s="87">
        <v>6</v>
      </c>
      <c r="G53" s="14">
        <v>3.69</v>
      </c>
    </row>
    <row r="54" spans="1:47" x14ac:dyDescent="0.25">
      <c r="A54" s="90">
        <v>7</v>
      </c>
      <c r="B54" s="20">
        <v>16.899999999999999</v>
      </c>
      <c r="C54" s="20">
        <v>9.8000000000000007</v>
      </c>
      <c r="D54" s="20">
        <v>7.1</v>
      </c>
      <c r="F54" s="87">
        <v>7</v>
      </c>
      <c r="G54" s="14">
        <v>2.98</v>
      </c>
    </row>
    <row r="55" spans="1:47" x14ac:dyDescent="0.25">
      <c r="A55" s="90">
        <v>8</v>
      </c>
      <c r="B55" s="20">
        <v>16.899999999999999</v>
      </c>
      <c r="C55" s="20">
        <v>8.5</v>
      </c>
      <c r="D55" s="20">
        <v>8.4</v>
      </c>
      <c r="F55" s="87">
        <v>8</v>
      </c>
      <c r="G55" s="14">
        <v>2.5</v>
      </c>
      <c r="Q55" s="87">
        <v>24</v>
      </c>
      <c r="R55" s="87">
        <v>25</v>
      </c>
      <c r="S55" s="87">
        <v>26</v>
      </c>
      <c r="T55" s="87">
        <v>27</v>
      </c>
      <c r="U55" s="87">
        <v>28</v>
      </c>
      <c r="V55" s="87">
        <v>29</v>
      </c>
      <c r="W55" s="87">
        <v>30</v>
      </c>
      <c r="X55" s="87">
        <v>1</v>
      </c>
      <c r="Y55" s="87">
        <v>2</v>
      </c>
      <c r="Z55" s="87">
        <v>3</v>
      </c>
      <c r="AA55" s="87">
        <v>4</v>
      </c>
      <c r="AB55" s="87">
        <v>5</v>
      </c>
      <c r="AC55" s="87">
        <v>6</v>
      </c>
      <c r="AD55" s="87">
        <v>7</v>
      </c>
      <c r="AE55" s="87">
        <v>8</v>
      </c>
      <c r="AF55" s="87">
        <v>9</v>
      </c>
      <c r="AG55" s="87">
        <v>10</v>
      </c>
      <c r="AH55" s="87">
        <v>11</v>
      </c>
      <c r="AI55" s="87">
        <v>12</v>
      </c>
      <c r="AJ55" s="87">
        <v>13</v>
      </c>
      <c r="AK55" s="87">
        <v>14</v>
      </c>
      <c r="AL55" s="87">
        <v>15</v>
      </c>
      <c r="AM55" s="87">
        <v>16</v>
      </c>
      <c r="AN55" s="87">
        <v>17</v>
      </c>
      <c r="AO55" s="87">
        <v>18</v>
      </c>
      <c r="AP55" s="87">
        <v>19</v>
      </c>
      <c r="AQ55" s="87">
        <v>20</v>
      </c>
      <c r="AR55" s="87">
        <v>21</v>
      </c>
      <c r="AS55" s="87">
        <v>22</v>
      </c>
      <c r="AT55" s="87">
        <v>23</v>
      </c>
      <c r="AU55" s="88"/>
    </row>
    <row r="56" spans="1:47" x14ac:dyDescent="0.25">
      <c r="A56" s="90">
        <v>9</v>
      </c>
      <c r="B56" s="20">
        <v>23.9</v>
      </c>
      <c r="C56" s="20">
        <v>6.3</v>
      </c>
      <c r="D56" s="20">
        <v>17.600000000000001</v>
      </c>
      <c r="F56" s="87">
        <v>9</v>
      </c>
      <c r="G56" s="14">
        <v>5.15</v>
      </c>
      <c r="Q56" s="14">
        <v>4.24</v>
      </c>
      <c r="R56" s="14">
        <v>5.9</v>
      </c>
      <c r="S56" s="14">
        <v>4.97</v>
      </c>
      <c r="T56" s="14">
        <v>4.43</v>
      </c>
      <c r="U56" s="14">
        <v>6.56</v>
      </c>
      <c r="V56" s="14">
        <v>5.24</v>
      </c>
      <c r="W56" s="14">
        <v>5.2</v>
      </c>
      <c r="X56" s="14">
        <v>4.87</v>
      </c>
      <c r="Y56" s="14">
        <v>4.9800000000000004</v>
      </c>
      <c r="Z56" s="14">
        <v>7.43</v>
      </c>
      <c r="AA56" s="14">
        <v>4.96</v>
      </c>
      <c r="AB56" s="14">
        <v>3.93</v>
      </c>
      <c r="AC56" s="14">
        <v>3.69</v>
      </c>
      <c r="AD56" s="14">
        <v>2.98</v>
      </c>
      <c r="AE56" s="14">
        <v>2.5</v>
      </c>
      <c r="AF56" s="14">
        <v>5.15</v>
      </c>
      <c r="AG56" s="14">
        <v>6.87</v>
      </c>
      <c r="AH56" s="14">
        <v>3.9</v>
      </c>
      <c r="AI56" s="14">
        <v>4.7300000000000004</v>
      </c>
      <c r="AJ56" s="14">
        <v>4.62</v>
      </c>
      <c r="AK56" s="14">
        <v>5.05</v>
      </c>
      <c r="AL56" s="14">
        <v>4.83</v>
      </c>
      <c r="AM56" s="14">
        <v>3.51</v>
      </c>
      <c r="AN56" s="14">
        <v>3.81</v>
      </c>
      <c r="AO56" s="14">
        <v>5.44</v>
      </c>
      <c r="AP56" s="14">
        <v>3.86</v>
      </c>
      <c r="AQ56" s="14">
        <v>2.74</v>
      </c>
      <c r="AR56" s="14">
        <v>6.37</v>
      </c>
      <c r="AS56" s="14">
        <v>3.98</v>
      </c>
      <c r="AT56" s="14">
        <v>4.2300000000000004</v>
      </c>
      <c r="AU56" s="86"/>
    </row>
    <row r="57" spans="1:47" x14ac:dyDescent="0.25">
      <c r="A57" s="90">
        <v>10</v>
      </c>
      <c r="B57" s="20">
        <v>25.4</v>
      </c>
      <c r="C57" s="20">
        <v>5.4</v>
      </c>
      <c r="D57" s="20">
        <v>20</v>
      </c>
      <c r="F57" s="87">
        <v>10</v>
      </c>
      <c r="G57" s="14">
        <v>6.87</v>
      </c>
    </row>
    <row r="58" spans="1:47" x14ac:dyDescent="0.25">
      <c r="A58" s="90">
        <v>11</v>
      </c>
      <c r="B58" s="20">
        <v>19.600000000000001</v>
      </c>
      <c r="C58" s="20">
        <v>7.4</v>
      </c>
      <c r="D58" s="20">
        <v>12.2</v>
      </c>
      <c r="F58" s="87">
        <v>11</v>
      </c>
      <c r="G58" s="14">
        <v>3.9</v>
      </c>
    </row>
    <row r="59" spans="1:47" x14ac:dyDescent="0.25">
      <c r="A59" s="90">
        <v>12</v>
      </c>
      <c r="B59" s="20">
        <v>21.7</v>
      </c>
      <c r="C59" s="20">
        <v>8.3000000000000007</v>
      </c>
      <c r="D59" s="20">
        <v>13.4</v>
      </c>
      <c r="F59" s="87">
        <v>12</v>
      </c>
      <c r="G59" s="14">
        <v>4.7300000000000004</v>
      </c>
    </row>
    <row r="60" spans="1:47" x14ac:dyDescent="0.25">
      <c r="A60" s="90">
        <v>13</v>
      </c>
      <c r="B60" s="20">
        <v>21.9</v>
      </c>
      <c r="C60" s="20">
        <v>7.4</v>
      </c>
      <c r="D60" s="20">
        <v>14.5</v>
      </c>
      <c r="F60" s="87">
        <v>13</v>
      </c>
      <c r="G60" s="14">
        <v>4.62</v>
      </c>
    </row>
    <row r="61" spans="1:47" x14ac:dyDescent="0.25">
      <c r="A61" s="90">
        <v>14</v>
      </c>
      <c r="B61" s="20">
        <v>23.4</v>
      </c>
      <c r="C61" s="20">
        <v>5.9</v>
      </c>
      <c r="D61" s="20">
        <v>17.5</v>
      </c>
      <c r="F61" s="87">
        <v>14</v>
      </c>
      <c r="G61" s="14">
        <v>5.05</v>
      </c>
    </row>
    <row r="62" spans="1:47" x14ac:dyDescent="0.25">
      <c r="A62" s="90">
        <v>15</v>
      </c>
      <c r="B62" s="20">
        <v>19.5</v>
      </c>
      <c r="C62" s="20">
        <v>4.7</v>
      </c>
      <c r="D62" s="20">
        <v>14.8</v>
      </c>
      <c r="F62" s="87">
        <v>15</v>
      </c>
      <c r="G62" s="14">
        <v>4.83</v>
      </c>
    </row>
    <row r="63" spans="1:47" x14ac:dyDescent="0.25">
      <c r="A63" s="90">
        <v>16</v>
      </c>
      <c r="B63" s="20">
        <v>19.2</v>
      </c>
      <c r="C63" s="20">
        <v>8.4</v>
      </c>
      <c r="D63" s="20">
        <v>10.8</v>
      </c>
      <c r="F63" s="87">
        <v>16</v>
      </c>
      <c r="G63" s="14">
        <v>3.51</v>
      </c>
    </row>
    <row r="64" spans="1:47" x14ac:dyDescent="0.25">
      <c r="A64" s="90">
        <v>17</v>
      </c>
      <c r="B64" s="20">
        <v>19</v>
      </c>
      <c r="C64" s="20">
        <v>6.1</v>
      </c>
      <c r="D64" s="20">
        <v>12.9</v>
      </c>
      <c r="F64" s="87">
        <v>17</v>
      </c>
      <c r="G64" s="14">
        <v>3.81</v>
      </c>
      <c r="O64" s="114" t="s">
        <v>219</v>
      </c>
      <c r="P64" s="87">
        <v>25</v>
      </c>
      <c r="Q64" s="87">
        <v>26</v>
      </c>
      <c r="R64" s="87">
        <v>27</v>
      </c>
      <c r="S64" s="87">
        <v>28</v>
      </c>
      <c r="T64" s="87">
        <v>29</v>
      </c>
      <c r="U64" s="87">
        <v>30</v>
      </c>
      <c r="V64" s="87">
        <v>1</v>
      </c>
      <c r="W64" s="87">
        <v>2</v>
      </c>
      <c r="X64" s="87">
        <v>3</v>
      </c>
      <c r="Y64" s="87">
        <v>4</v>
      </c>
      <c r="Z64" s="87">
        <v>5</v>
      </c>
      <c r="AA64" s="87">
        <v>6</v>
      </c>
      <c r="AB64" s="87">
        <v>7</v>
      </c>
      <c r="AC64" s="87">
        <v>8</v>
      </c>
      <c r="AD64" s="87">
        <v>9</v>
      </c>
      <c r="AE64" s="87">
        <v>10</v>
      </c>
      <c r="AF64" s="87">
        <v>11</v>
      </c>
      <c r="AG64" s="87">
        <v>12</v>
      </c>
      <c r="AH64" s="87">
        <v>13</v>
      </c>
      <c r="AI64" s="87">
        <v>14</v>
      </c>
      <c r="AJ64" s="87">
        <v>15</v>
      </c>
      <c r="AK64" s="87">
        <v>16</v>
      </c>
      <c r="AL64" s="87">
        <v>17</v>
      </c>
      <c r="AM64" s="87">
        <v>18</v>
      </c>
      <c r="AN64" s="87">
        <v>19</v>
      </c>
      <c r="AO64" s="87">
        <v>20</v>
      </c>
      <c r="AP64" s="87">
        <v>21</v>
      </c>
      <c r="AQ64" s="87">
        <v>22</v>
      </c>
      <c r="AR64" s="87">
        <v>23</v>
      </c>
      <c r="AS64" s="87">
        <v>24</v>
      </c>
      <c r="AT64" s="113"/>
    </row>
    <row r="65" spans="1:44" x14ac:dyDescent="0.25">
      <c r="A65" s="90">
        <v>18</v>
      </c>
      <c r="B65" s="20">
        <v>21.9</v>
      </c>
      <c r="C65" s="20">
        <v>4.7</v>
      </c>
      <c r="D65" s="20">
        <v>17.2</v>
      </c>
      <c r="F65" s="87">
        <v>18</v>
      </c>
      <c r="G65" s="14">
        <v>5.44</v>
      </c>
      <c r="O65" s="115" t="s">
        <v>220</v>
      </c>
      <c r="P65" s="14">
        <v>629</v>
      </c>
      <c r="Q65" s="14">
        <v>649</v>
      </c>
      <c r="R65" s="14">
        <v>617</v>
      </c>
      <c r="S65" s="14">
        <v>624</v>
      </c>
      <c r="T65" s="14">
        <v>605</v>
      </c>
      <c r="U65" s="14">
        <v>594</v>
      </c>
      <c r="V65" s="14">
        <v>573</v>
      </c>
      <c r="W65" s="14">
        <v>578</v>
      </c>
      <c r="X65" s="14">
        <v>580</v>
      </c>
      <c r="Y65" s="14">
        <v>561</v>
      </c>
      <c r="Z65" s="14">
        <v>566</v>
      </c>
      <c r="AA65" s="14">
        <v>550</v>
      </c>
      <c r="AB65" s="14">
        <v>515</v>
      </c>
      <c r="AC65" s="14">
        <v>213</v>
      </c>
      <c r="AD65" s="14">
        <v>538</v>
      </c>
      <c r="AE65" s="14">
        <v>529</v>
      </c>
      <c r="AF65" s="14">
        <v>508</v>
      </c>
      <c r="AG65" s="14">
        <v>436</v>
      </c>
      <c r="AH65" s="14">
        <v>490</v>
      </c>
      <c r="AI65" s="14">
        <v>497</v>
      </c>
      <c r="AJ65" s="14">
        <v>499</v>
      </c>
      <c r="AK65" s="14">
        <v>489</v>
      </c>
      <c r="AL65" s="14">
        <v>480</v>
      </c>
      <c r="AM65" s="14">
        <v>469</v>
      </c>
      <c r="AN65" s="14">
        <v>455</v>
      </c>
      <c r="AO65" s="14">
        <v>295</v>
      </c>
      <c r="AP65" s="14">
        <v>487</v>
      </c>
      <c r="AQ65" s="14">
        <v>489</v>
      </c>
      <c r="AR65" s="14">
        <v>292</v>
      </c>
    </row>
    <row r="66" spans="1:44" x14ac:dyDescent="0.25">
      <c r="A66" s="90">
        <v>19</v>
      </c>
      <c r="B66" s="20">
        <v>20.7</v>
      </c>
      <c r="C66" s="20">
        <v>8.9</v>
      </c>
      <c r="D66" s="20">
        <v>11.8</v>
      </c>
      <c r="F66" s="87">
        <v>19</v>
      </c>
      <c r="G66" s="14">
        <v>3.86</v>
      </c>
    </row>
    <row r="67" spans="1:44" x14ac:dyDescent="0.25">
      <c r="A67" s="90">
        <v>20</v>
      </c>
      <c r="B67" s="20">
        <v>20.399999999999999</v>
      </c>
      <c r="C67" s="20">
        <v>8</v>
      </c>
      <c r="D67" s="20">
        <v>12.4</v>
      </c>
      <c r="F67" s="87">
        <v>20</v>
      </c>
      <c r="G67" s="14">
        <v>2.74</v>
      </c>
    </row>
    <row r="68" spans="1:44" x14ac:dyDescent="0.25">
      <c r="A68" s="90">
        <v>21</v>
      </c>
      <c r="B68" s="20">
        <v>25.7</v>
      </c>
      <c r="C68" s="20">
        <v>5.6</v>
      </c>
      <c r="D68" s="20">
        <v>20.100000000000001</v>
      </c>
      <c r="F68" s="87">
        <v>21</v>
      </c>
      <c r="G68" s="14">
        <v>6.37</v>
      </c>
    </row>
    <row r="69" spans="1:44" x14ac:dyDescent="0.25">
      <c r="A69" s="90">
        <v>22</v>
      </c>
      <c r="B69" s="20">
        <v>21.9</v>
      </c>
      <c r="C69" s="20">
        <v>7.3</v>
      </c>
      <c r="D69" s="20">
        <v>14.6</v>
      </c>
      <c r="F69" s="87">
        <v>22</v>
      </c>
      <c r="G69" s="14">
        <v>3.98</v>
      </c>
    </row>
    <row r="70" spans="1:44" x14ac:dyDescent="0.25">
      <c r="A70" s="90">
        <v>23</v>
      </c>
      <c r="B70" s="20">
        <v>22.7</v>
      </c>
      <c r="C70" s="20">
        <v>9.6999999999999993</v>
      </c>
      <c r="D70" s="20">
        <v>13</v>
      </c>
      <c r="F70" s="88"/>
      <c r="G70" s="86"/>
    </row>
    <row r="71" spans="1:44" x14ac:dyDescent="0.25">
      <c r="A71" s="22"/>
      <c r="B71" s="22"/>
      <c r="C71" s="22"/>
      <c r="D71" s="19"/>
    </row>
  </sheetData>
  <mergeCells count="15">
    <mergeCell ref="K2:K8"/>
    <mergeCell ref="L2:L8"/>
    <mergeCell ref="M2:M8"/>
    <mergeCell ref="K9:K15"/>
    <mergeCell ref="K16:K22"/>
    <mergeCell ref="L16:L22"/>
    <mergeCell ref="M16:M22"/>
    <mergeCell ref="L9:L15"/>
    <mergeCell ref="M9:M15"/>
    <mergeCell ref="K30:K33"/>
    <mergeCell ref="L30:L33"/>
    <mergeCell ref="M30:M33"/>
    <mergeCell ref="K23:K29"/>
    <mergeCell ref="L23:L29"/>
    <mergeCell ref="M23:M29"/>
  </mergeCells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3" operator="greaterThan">
      <formula>0.5</formula>
    </cfRule>
  </conditionalFormatting>
  <conditionalFormatting sqref="J1:J1048576 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231B-2BA1-4FC3-BD42-FCC8B59AB67C}">
  <dimension ref="A1:AS126"/>
  <sheetViews>
    <sheetView zoomScaleNormal="100" workbookViewId="0">
      <selection activeCell="T122" sqref="T122"/>
    </sheetView>
  </sheetViews>
  <sheetFormatPr baseColWidth="10" defaultRowHeight="15" x14ac:dyDescent="0.25"/>
  <cols>
    <col min="8" max="8" width="18.85546875" bestFit="1" customWidth="1"/>
    <col min="9" max="9" width="18" bestFit="1" customWidth="1"/>
    <col min="10" max="10" width="10.140625" bestFit="1" customWidth="1"/>
    <col min="11" max="11" width="24" bestFit="1" customWidth="1"/>
    <col min="12" max="12" width="23.5703125" bestFit="1" customWidth="1"/>
    <col min="13" max="13" width="10.140625" bestFit="1" customWidth="1"/>
    <col min="14" max="15" width="11.42578125" style="104"/>
  </cols>
  <sheetData>
    <row r="1" spans="1:18" x14ac:dyDescent="0.25">
      <c r="A1" s="181" t="s">
        <v>175</v>
      </c>
      <c r="B1" s="181" t="s">
        <v>12</v>
      </c>
      <c r="C1" s="182" t="s">
        <v>184</v>
      </c>
      <c r="D1" s="182" t="s">
        <v>185</v>
      </c>
      <c r="E1" s="182" t="s">
        <v>187</v>
      </c>
      <c r="F1" s="181" t="s">
        <v>31</v>
      </c>
      <c r="G1" s="181" t="s">
        <v>178</v>
      </c>
      <c r="H1" s="174" t="s">
        <v>215</v>
      </c>
      <c r="I1" s="174" t="s">
        <v>217</v>
      </c>
      <c r="J1" s="174" t="s">
        <v>180</v>
      </c>
      <c r="K1" s="174" t="s">
        <v>226</v>
      </c>
      <c r="L1" s="174" t="s">
        <v>228</v>
      </c>
      <c r="M1" s="174" t="s">
        <v>180</v>
      </c>
      <c r="N1" s="101"/>
      <c r="O1" s="101"/>
      <c r="P1" s="97"/>
      <c r="Q1" s="97"/>
      <c r="R1" s="79"/>
    </row>
    <row r="2" spans="1:18" x14ac:dyDescent="0.25">
      <c r="A2" s="174">
        <v>23</v>
      </c>
      <c r="B2" s="174" t="s">
        <v>181</v>
      </c>
      <c r="C2" s="174">
        <v>23.3</v>
      </c>
      <c r="D2" s="174">
        <v>3.7</v>
      </c>
      <c r="E2" s="174">
        <f>AVERAGE(C2:D2)</f>
        <v>13.5</v>
      </c>
      <c r="F2" s="183">
        <v>-34</v>
      </c>
      <c r="G2" s="174">
        <v>11.1</v>
      </c>
      <c r="H2" s="174">
        <f t="shared" ref="H2:H30" si="0">0.0023*(E2+17)*G2*(C2-D2)^0.5</f>
        <v>3.4472969079570159</v>
      </c>
      <c r="I2" s="184">
        <v>3.88</v>
      </c>
      <c r="J2" s="185">
        <f>ABS(H2-I2)/I2</f>
        <v>0.11152141547499587</v>
      </c>
      <c r="K2" s="399">
        <f>SUM(H2:H8)</f>
        <v>27.02587895264994</v>
      </c>
      <c r="L2" s="399">
        <f>SUM(I2:I8)</f>
        <v>23.69</v>
      </c>
      <c r="M2" s="400">
        <f>ABS(K2-L2)/L2</f>
        <v>0.14081380129379226</v>
      </c>
      <c r="N2" s="112"/>
      <c r="O2" s="111"/>
      <c r="P2" s="98"/>
      <c r="Q2" s="99"/>
      <c r="R2" s="80"/>
    </row>
    <row r="3" spans="1:18" x14ac:dyDescent="0.25">
      <c r="A3" s="174">
        <v>24</v>
      </c>
      <c r="B3" s="174" t="s">
        <v>181</v>
      </c>
      <c r="C3" s="174">
        <v>28.4</v>
      </c>
      <c r="D3" s="174">
        <v>5.3</v>
      </c>
      <c r="E3" s="174">
        <f t="shared" ref="E3:E31" si="1">AVERAGE(C3:D3)</f>
        <v>16.849999999999998</v>
      </c>
      <c r="F3" s="183">
        <v>-34</v>
      </c>
      <c r="G3" s="174">
        <v>11.1</v>
      </c>
      <c r="H3" s="174">
        <f t="shared" si="0"/>
        <v>4.1535120787960595</v>
      </c>
      <c r="I3" s="184">
        <v>2.99</v>
      </c>
      <c r="J3" s="185">
        <f t="shared" ref="J3:J30" si="2">ABS(H3-I3)/I3</f>
        <v>0.38913447451373218</v>
      </c>
      <c r="K3" s="399"/>
      <c r="L3" s="399"/>
      <c r="M3" s="400"/>
      <c r="N3" s="112"/>
      <c r="O3" s="111"/>
      <c r="P3" s="98"/>
      <c r="Q3" s="99"/>
      <c r="R3" s="80"/>
    </row>
    <row r="4" spans="1:18" x14ac:dyDescent="0.25">
      <c r="A4" s="174">
        <v>25</v>
      </c>
      <c r="B4" s="174" t="s">
        <v>181</v>
      </c>
      <c r="C4" s="174">
        <v>21.4</v>
      </c>
      <c r="D4" s="174">
        <v>4.0999999999999996</v>
      </c>
      <c r="E4" s="174">
        <f t="shared" si="1"/>
        <v>12.75</v>
      </c>
      <c r="F4" s="183">
        <v>-34</v>
      </c>
      <c r="G4" s="174">
        <v>11.1</v>
      </c>
      <c r="H4" s="174">
        <f t="shared" si="0"/>
        <v>3.1590815449348759</v>
      </c>
      <c r="I4" s="184">
        <v>3.68</v>
      </c>
      <c r="J4" s="185">
        <f t="shared" si="2"/>
        <v>0.14155392800682723</v>
      </c>
      <c r="K4" s="399"/>
      <c r="L4" s="399"/>
      <c r="M4" s="400"/>
      <c r="N4" s="112"/>
      <c r="O4" s="111"/>
      <c r="P4" s="98"/>
      <c r="Q4" s="99"/>
      <c r="R4" s="80"/>
    </row>
    <row r="5" spans="1:18" x14ac:dyDescent="0.25">
      <c r="A5" s="174">
        <v>26</v>
      </c>
      <c r="B5" s="174" t="s">
        <v>181</v>
      </c>
      <c r="C5" s="174">
        <v>25.4</v>
      </c>
      <c r="D5" s="174">
        <v>3.9</v>
      </c>
      <c r="E5" s="174">
        <f t="shared" si="1"/>
        <v>14.649999999999999</v>
      </c>
      <c r="F5" s="183">
        <v>-34</v>
      </c>
      <c r="G5" s="174">
        <v>11.1</v>
      </c>
      <c r="H5" s="174">
        <f t="shared" si="0"/>
        <v>3.7466554740068339</v>
      </c>
      <c r="I5" s="184">
        <v>2.69</v>
      </c>
      <c r="J5" s="185">
        <f t="shared" si="2"/>
        <v>0.39280872639659253</v>
      </c>
      <c r="K5" s="399"/>
      <c r="L5" s="399"/>
      <c r="M5" s="400"/>
      <c r="N5" s="112"/>
      <c r="O5" s="111"/>
      <c r="P5" s="98"/>
      <c r="Q5" s="99"/>
      <c r="R5" s="80"/>
    </row>
    <row r="6" spans="1:18" x14ac:dyDescent="0.25">
      <c r="A6" s="174">
        <v>27</v>
      </c>
      <c r="B6" s="174" t="s">
        <v>181</v>
      </c>
      <c r="C6" s="174">
        <v>33</v>
      </c>
      <c r="D6" s="174">
        <v>4.7</v>
      </c>
      <c r="E6" s="174">
        <f t="shared" si="1"/>
        <v>18.850000000000001</v>
      </c>
      <c r="F6" s="183">
        <v>-34</v>
      </c>
      <c r="G6" s="174">
        <v>11.1</v>
      </c>
      <c r="H6" s="174">
        <f t="shared" si="0"/>
        <v>4.8689262081420033</v>
      </c>
      <c r="I6" s="184">
        <v>3.2</v>
      </c>
      <c r="J6" s="185">
        <f t="shared" si="2"/>
        <v>0.52153944004437591</v>
      </c>
      <c r="K6" s="399"/>
      <c r="L6" s="399"/>
      <c r="M6" s="400"/>
      <c r="N6" s="112"/>
      <c r="O6" s="111"/>
      <c r="P6" s="98"/>
      <c r="Q6" s="99"/>
      <c r="R6" s="80"/>
    </row>
    <row r="7" spans="1:18" x14ac:dyDescent="0.25">
      <c r="A7" s="174">
        <v>28</v>
      </c>
      <c r="B7" s="174" t="s">
        <v>181</v>
      </c>
      <c r="C7" s="174">
        <v>23.4</v>
      </c>
      <c r="D7" s="174">
        <v>2.5</v>
      </c>
      <c r="E7" s="174">
        <f t="shared" si="1"/>
        <v>12.95</v>
      </c>
      <c r="F7" s="183">
        <v>-34</v>
      </c>
      <c r="G7" s="174">
        <v>11.1</v>
      </c>
      <c r="H7" s="174">
        <f t="shared" si="0"/>
        <v>3.4955923850074431</v>
      </c>
      <c r="I7" s="184">
        <v>3.63</v>
      </c>
      <c r="J7" s="185">
        <f t="shared" si="2"/>
        <v>3.7026891182522545E-2</v>
      </c>
      <c r="K7" s="399"/>
      <c r="L7" s="399"/>
      <c r="M7" s="400"/>
      <c r="N7" s="112"/>
      <c r="O7" s="111"/>
      <c r="P7" s="98"/>
      <c r="Q7" s="99"/>
      <c r="R7" s="80"/>
    </row>
    <row r="8" spans="1:18" x14ac:dyDescent="0.25">
      <c r="A8" s="174">
        <v>29</v>
      </c>
      <c r="B8" s="174" t="s">
        <v>181</v>
      </c>
      <c r="C8" s="174">
        <v>28.3</v>
      </c>
      <c r="D8" s="174">
        <v>4.7</v>
      </c>
      <c r="E8" s="174">
        <f t="shared" si="1"/>
        <v>16.5</v>
      </c>
      <c r="F8" s="183">
        <v>-34</v>
      </c>
      <c r="G8" s="174">
        <v>11.1</v>
      </c>
      <c r="H8" s="174">
        <f t="shared" si="0"/>
        <v>4.1548143538057136</v>
      </c>
      <c r="I8" s="184">
        <v>3.62</v>
      </c>
      <c r="J8" s="185">
        <f t="shared" si="2"/>
        <v>0.14773877176953412</v>
      </c>
      <c r="K8" s="399"/>
      <c r="L8" s="399"/>
      <c r="M8" s="400"/>
      <c r="N8" s="112"/>
      <c r="O8" s="111"/>
      <c r="P8" s="98"/>
      <c r="Q8" s="99"/>
      <c r="R8" s="80"/>
    </row>
    <row r="9" spans="1:18" x14ac:dyDescent="0.25">
      <c r="A9" s="174">
        <v>30</v>
      </c>
      <c r="B9" s="174" t="s">
        <v>181</v>
      </c>
      <c r="C9" s="174">
        <v>28</v>
      </c>
      <c r="D9" s="174">
        <v>3.8</v>
      </c>
      <c r="E9" s="174">
        <f t="shared" si="1"/>
        <v>15.9</v>
      </c>
      <c r="F9" s="183">
        <v>-34</v>
      </c>
      <c r="G9" s="174">
        <v>11.1</v>
      </c>
      <c r="H9" s="174">
        <f t="shared" si="0"/>
        <v>4.1319437033979289</v>
      </c>
      <c r="I9" s="184">
        <v>3.02</v>
      </c>
      <c r="J9" s="185">
        <f t="shared" si="2"/>
        <v>0.36819327927083739</v>
      </c>
      <c r="K9" s="399">
        <f>SUM(H9:H15)</f>
        <v>20.894650354002877</v>
      </c>
      <c r="L9" s="399">
        <f>SUM(I9:I15)</f>
        <v>20.72</v>
      </c>
      <c r="M9" s="400">
        <f>ABS(K9-L9)/L9</f>
        <v>8.429071139135054E-3</v>
      </c>
      <c r="N9" s="112"/>
      <c r="O9" s="111"/>
      <c r="P9" s="98"/>
      <c r="Q9" s="99"/>
      <c r="R9" s="80"/>
    </row>
    <row r="10" spans="1:18" x14ac:dyDescent="0.25">
      <c r="A10" s="174">
        <v>1</v>
      </c>
      <c r="B10" s="174" t="s">
        <v>182</v>
      </c>
      <c r="C10" s="174">
        <v>26.2</v>
      </c>
      <c r="D10" s="174">
        <v>4.4000000000000004</v>
      </c>
      <c r="E10" s="174">
        <f t="shared" si="1"/>
        <v>15.3</v>
      </c>
      <c r="F10" s="183">
        <v>-34</v>
      </c>
      <c r="G10" s="174">
        <v>8.6999999999999993</v>
      </c>
      <c r="H10" s="174">
        <f t="shared" si="0"/>
        <v>3.0177124719184554</v>
      </c>
      <c r="I10" s="184">
        <v>3.7</v>
      </c>
      <c r="J10" s="185">
        <f t="shared" si="2"/>
        <v>0.18440203461663371</v>
      </c>
      <c r="K10" s="399"/>
      <c r="L10" s="399"/>
      <c r="M10" s="400"/>
      <c r="N10" s="112"/>
      <c r="O10" s="111"/>
      <c r="P10" s="98"/>
      <c r="Q10" s="99"/>
      <c r="R10" s="80"/>
    </row>
    <row r="11" spans="1:18" x14ac:dyDescent="0.25">
      <c r="A11" s="174">
        <v>2</v>
      </c>
      <c r="B11" s="174" t="s">
        <v>182</v>
      </c>
      <c r="C11" s="174">
        <v>29</v>
      </c>
      <c r="D11" s="174">
        <v>3.7</v>
      </c>
      <c r="E11" s="174">
        <f t="shared" si="1"/>
        <v>16.350000000000001</v>
      </c>
      <c r="F11" s="183">
        <v>-34</v>
      </c>
      <c r="G11" s="174">
        <v>8.6999999999999993</v>
      </c>
      <c r="H11" s="174">
        <f t="shared" si="0"/>
        <v>3.3566278026648892</v>
      </c>
      <c r="I11" s="184">
        <v>2.83</v>
      </c>
      <c r="J11" s="185">
        <f t="shared" si="2"/>
        <v>0.18608756277911279</v>
      </c>
      <c r="K11" s="399"/>
      <c r="L11" s="399"/>
      <c r="M11" s="400"/>
      <c r="N11" s="112"/>
      <c r="O11" s="111"/>
      <c r="P11" s="98"/>
      <c r="Q11" s="99"/>
      <c r="R11" s="80"/>
    </row>
    <row r="12" spans="1:18" x14ac:dyDescent="0.25">
      <c r="A12" s="174">
        <v>3</v>
      </c>
      <c r="B12" s="174" t="s">
        <v>182</v>
      </c>
      <c r="C12" s="174">
        <v>22.5</v>
      </c>
      <c r="D12" s="174">
        <v>3.1</v>
      </c>
      <c r="E12" s="174">
        <f t="shared" si="1"/>
        <v>12.8</v>
      </c>
      <c r="F12" s="183">
        <v>-34</v>
      </c>
      <c r="G12" s="174">
        <v>8.6999999999999993</v>
      </c>
      <c r="H12" s="174">
        <f t="shared" si="0"/>
        <v>2.6264202468755071</v>
      </c>
      <c r="I12" s="184">
        <v>3.12</v>
      </c>
      <c r="J12" s="185">
        <f t="shared" si="2"/>
        <v>0.15819863882195287</v>
      </c>
      <c r="K12" s="399"/>
      <c r="L12" s="399"/>
      <c r="M12" s="400"/>
      <c r="N12" s="112"/>
      <c r="O12" s="111"/>
      <c r="P12" s="98"/>
      <c r="Q12" s="99"/>
      <c r="R12" s="80"/>
    </row>
    <row r="13" spans="1:18" x14ac:dyDescent="0.25">
      <c r="A13" s="174">
        <v>4</v>
      </c>
      <c r="B13" s="174" t="s">
        <v>182</v>
      </c>
      <c r="C13" s="174">
        <v>25</v>
      </c>
      <c r="D13" s="174">
        <v>2.9</v>
      </c>
      <c r="E13" s="174">
        <f t="shared" si="1"/>
        <v>13.95</v>
      </c>
      <c r="F13" s="183">
        <v>-34</v>
      </c>
      <c r="G13" s="174">
        <v>8.6999999999999993</v>
      </c>
      <c r="H13" s="174">
        <f t="shared" si="0"/>
        <v>2.9114134153473503</v>
      </c>
      <c r="I13" s="184">
        <v>2.86</v>
      </c>
      <c r="J13" s="185">
        <f t="shared" si="2"/>
        <v>1.7976718652919735E-2</v>
      </c>
      <c r="K13" s="399"/>
      <c r="L13" s="399"/>
      <c r="M13" s="400"/>
      <c r="N13" s="112"/>
      <c r="O13" s="111"/>
      <c r="P13" s="98"/>
      <c r="Q13" s="99"/>
      <c r="R13" s="80"/>
    </row>
    <row r="14" spans="1:18" x14ac:dyDescent="0.25">
      <c r="A14" s="174">
        <v>5</v>
      </c>
      <c r="B14" s="174" t="s">
        <v>182</v>
      </c>
      <c r="C14" s="174">
        <v>24.4</v>
      </c>
      <c r="D14" s="174">
        <v>4.0999999999999996</v>
      </c>
      <c r="E14" s="174">
        <f t="shared" si="1"/>
        <v>14.25</v>
      </c>
      <c r="F14" s="183">
        <v>-34</v>
      </c>
      <c r="G14" s="174">
        <v>8.6999999999999993</v>
      </c>
      <c r="H14" s="174">
        <f t="shared" si="0"/>
        <v>2.8173780665579606</v>
      </c>
      <c r="I14" s="184">
        <v>2.63</v>
      </c>
      <c r="J14" s="185">
        <f t="shared" si="2"/>
        <v>7.1246413139909037E-2</v>
      </c>
      <c r="K14" s="399"/>
      <c r="L14" s="399"/>
      <c r="M14" s="400"/>
      <c r="N14" s="112"/>
      <c r="O14" s="111"/>
      <c r="P14" s="98"/>
      <c r="Q14" s="99"/>
      <c r="R14" s="80"/>
    </row>
    <row r="15" spans="1:18" x14ac:dyDescent="0.25">
      <c r="A15" s="174">
        <v>6</v>
      </c>
      <c r="B15" s="174" t="s">
        <v>182</v>
      </c>
      <c r="C15" s="174">
        <v>17.8</v>
      </c>
      <c r="D15" s="174">
        <v>5</v>
      </c>
      <c r="E15" s="174">
        <f t="shared" si="1"/>
        <v>11.4</v>
      </c>
      <c r="F15" s="183">
        <v>-34</v>
      </c>
      <c r="G15" s="174">
        <v>8.6999999999999993</v>
      </c>
      <c r="H15" s="174">
        <f t="shared" si="0"/>
        <v>2.0331546472407842</v>
      </c>
      <c r="I15" s="184">
        <v>2.56</v>
      </c>
      <c r="J15" s="185">
        <f t="shared" si="2"/>
        <v>0.20579896592156868</v>
      </c>
      <c r="K15" s="399"/>
      <c r="L15" s="399"/>
      <c r="M15" s="400"/>
      <c r="N15" s="112"/>
      <c r="O15" s="111"/>
      <c r="P15" s="98"/>
      <c r="Q15" s="99"/>
      <c r="R15" s="80"/>
    </row>
    <row r="16" spans="1:18" x14ac:dyDescent="0.25">
      <c r="A16" s="174">
        <v>7</v>
      </c>
      <c r="B16" s="174" t="s">
        <v>182</v>
      </c>
      <c r="C16" s="174">
        <v>15.9</v>
      </c>
      <c r="D16" s="174">
        <v>4.9000000000000004</v>
      </c>
      <c r="E16" s="174">
        <f t="shared" si="1"/>
        <v>10.4</v>
      </c>
      <c r="F16" s="183">
        <v>-34</v>
      </c>
      <c r="G16" s="174">
        <v>8.6999999999999993</v>
      </c>
      <c r="H16" s="174">
        <f t="shared" si="0"/>
        <v>1.8184191403073162</v>
      </c>
      <c r="I16" s="184">
        <v>1.92</v>
      </c>
      <c r="J16" s="185">
        <f t="shared" si="2"/>
        <v>5.29066977566061E-2</v>
      </c>
      <c r="K16" s="399">
        <f>SUM(H16:H22)</f>
        <v>19.930215774072259</v>
      </c>
      <c r="L16" s="399">
        <f>SUM(I16:I22)</f>
        <v>17.39</v>
      </c>
      <c r="M16" s="400">
        <f>ABS(K16-L16)/L16</f>
        <v>0.14607336251134323</v>
      </c>
      <c r="N16" s="112"/>
      <c r="O16" s="111"/>
      <c r="P16" s="98"/>
      <c r="Q16" s="99"/>
      <c r="R16" s="80"/>
    </row>
    <row r="17" spans="1:18" x14ac:dyDescent="0.25">
      <c r="A17" s="174">
        <v>8</v>
      </c>
      <c r="B17" s="174" t="s">
        <v>182</v>
      </c>
      <c r="C17" s="174">
        <v>28.1</v>
      </c>
      <c r="D17" s="174">
        <v>3.1</v>
      </c>
      <c r="E17" s="174">
        <f t="shared" si="1"/>
        <v>15.600000000000001</v>
      </c>
      <c r="F17" s="183">
        <v>-34</v>
      </c>
      <c r="G17" s="174">
        <v>8.6999999999999993</v>
      </c>
      <c r="H17" s="174">
        <f t="shared" si="0"/>
        <v>3.2616299999999998</v>
      </c>
      <c r="I17" s="184">
        <v>1.8</v>
      </c>
      <c r="J17" s="185">
        <f t="shared" si="2"/>
        <v>0.8120166666666665</v>
      </c>
      <c r="K17" s="399"/>
      <c r="L17" s="399"/>
      <c r="M17" s="400"/>
      <c r="N17" s="112"/>
      <c r="O17" s="111"/>
      <c r="P17" s="98"/>
      <c r="Q17" s="99"/>
      <c r="R17" s="80"/>
    </row>
    <row r="18" spans="1:18" x14ac:dyDescent="0.25">
      <c r="A18" s="174">
        <v>9</v>
      </c>
      <c r="B18" s="174" t="s">
        <v>182</v>
      </c>
      <c r="C18" s="174">
        <v>31.2</v>
      </c>
      <c r="D18" s="174">
        <v>4.5999999999999996</v>
      </c>
      <c r="E18" s="174">
        <f t="shared" si="1"/>
        <v>17.899999999999999</v>
      </c>
      <c r="F18" s="183">
        <v>-34</v>
      </c>
      <c r="G18" s="174">
        <v>8.6999999999999993</v>
      </c>
      <c r="H18" s="174">
        <f t="shared" si="0"/>
        <v>3.6017480847925216</v>
      </c>
      <c r="I18" s="184">
        <v>2.88</v>
      </c>
      <c r="J18" s="185">
        <f t="shared" si="2"/>
        <v>0.25060697388629227</v>
      </c>
      <c r="K18" s="399"/>
      <c r="L18" s="399"/>
      <c r="M18" s="400"/>
      <c r="N18" s="112"/>
      <c r="O18" s="111"/>
      <c r="P18" s="98"/>
      <c r="Q18" s="99"/>
      <c r="R18" s="80"/>
    </row>
    <row r="19" spans="1:18" x14ac:dyDescent="0.25">
      <c r="A19" s="174">
        <v>10</v>
      </c>
      <c r="B19" s="174" t="s">
        <v>182</v>
      </c>
      <c r="C19" s="174">
        <v>24.2</v>
      </c>
      <c r="D19" s="174">
        <v>5</v>
      </c>
      <c r="E19" s="174">
        <f t="shared" si="1"/>
        <v>14.6</v>
      </c>
      <c r="F19" s="183">
        <v>-34</v>
      </c>
      <c r="G19" s="174">
        <v>8.6999999999999993</v>
      </c>
      <c r="H19" s="174">
        <f t="shared" si="0"/>
        <v>2.7706698933714926</v>
      </c>
      <c r="I19" s="184">
        <v>3.18</v>
      </c>
      <c r="J19" s="185">
        <f t="shared" si="2"/>
        <v>0.12872015931714073</v>
      </c>
      <c r="K19" s="399"/>
      <c r="L19" s="399"/>
      <c r="M19" s="400"/>
      <c r="N19" s="112"/>
      <c r="O19" s="111"/>
      <c r="P19" s="98"/>
      <c r="Q19" s="99"/>
      <c r="R19" s="80"/>
    </row>
    <row r="20" spans="1:18" x14ac:dyDescent="0.25">
      <c r="A20" s="174">
        <v>11</v>
      </c>
      <c r="B20" s="174" t="s">
        <v>182</v>
      </c>
      <c r="C20" s="174">
        <v>23.4</v>
      </c>
      <c r="D20" s="174">
        <v>2</v>
      </c>
      <c r="E20" s="174">
        <f t="shared" si="1"/>
        <v>12.7</v>
      </c>
      <c r="F20" s="183">
        <v>-34</v>
      </c>
      <c r="G20" s="174">
        <v>8.6999999999999993</v>
      </c>
      <c r="H20" s="174">
        <f t="shared" si="0"/>
        <v>2.7492258870585005</v>
      </c>
      <c r="I20" s="184">
        <v>2.42</v>
      </c>
      <c r="J20" s="185">
        <f t="shared" si="2"/>
        <v>0.13604375498285146</v>
      </c>
      <c r="K20" s="399"/>
      <c r="L20" s="399"/>
      <c r="M20" s="400"/>
      <c r="N20" s="112"/>
      <c r="O20" s="111"/>
      <c r="P20" s="98"/>
      <c r="Q20" s="99"/>
      <c r="R20" s="80"/>
    </row>
    <row r="21" spans="1:18" x14ac:dyDescent="0.25">
      <c r="A21" s="174">
        <v>12</v>
      </c>
      <c r="B21" s="174" t="s">
        <v>182</v>
      </c>
      <c r="C21" s="174">
        <v>22.7</v>
      </c>
      <c r="D21" s="174">
        <v>4.5</v>
      </c>
      <c r="E21" s="174">
        <f t="shared" si="1"/>
        <v>13.6</v>
      </c>
      <c r="F21" s="183">
        <v>-34</v>
      </c>
      <c r="G21" s="174">
        <v>8.6999999999999993</v>
      </c>
      <c r="H21" s="174">
        <f t="shared" si="0"/>
        <v>2.6121866711579398</v>
      </c>
      <c r="I21" s="184">
        <v>2.33</v>
      </c>
      <c r="J21" s="185">
        <f t="shared" si="2"/>
        <v>0.12111015929525309</v>
      </c>
      <c r="K21" s="399"/>
      <c r="L21" s="399"/>
      <c r="M21" s="400"/>
      <c r="N21" s="112"/>
      <c r="O21" s="111"/>
      <c r="P21" s="98"/>
      <c r="Q21" s="99"/>
      <c r="R21" s="80"/>
    </row>
    <row r="22" spans="1:18" x14ac:dyDescent="0.25">
      <c r="A22" s="174">
        <v>13</v>
      </c>
      <c r="B22" s="174" t="s">
        <v>182</v>
      </c>
      <c r="C22" s="174">
        <v>26.7</v>
      </c>
      <c r="D22" s="174">
        <v>2.1</v>
      </c>
      <c r="E22" s="174">
        <f t="shared" si="1"/>
        <v>14.4</v>
      </c>
      <c r="F22" s="183">
        <v>-34</v>
      </c>
      <c r="G22" s="174">
        <v>8.6999999999999993</v>
      </c>
      <c r="H22" s="174">
        <f t="shared" si="0"/>
        <v>3.1163360973844907</v>
      </c>
      <c r="I22" s="184">
        <v>2.86</v>
      </c>
      <c r="J22" s="185">
        <f t="shared" si="2"/>
        <v>8.9628006078493291E-2</v>
      </c>
      <c r="K22" s="399"/>
      <c r="L22" s="399"/>
      <c r="M22" s="400"/>
      <c r="N22" s="112"/>
      <c r="O22" s="111"/>
      <c r="P22" s="98"/>
      <c r="Q22" s="99"/>
      <c r="R22" s="80"/>
    </row>
    <row r="23" spans="1:18" x14ac:dyDescent="0.25">
      <c r="A23" s="174">
        <v>14</v>
      </c>
      <c r="B23" s="174" t="s">
        <v>182</v>
      </c>
      <c r="C23" s="174">
        <v>22.3</v>
      </c>
      <c r="D23" s="174">
        <v>1.2</v>
      </c>
      <c r="E23" s="174">
        <f t="shared" si="1"/>
        <v>11.75</v>
      </c>
      <c r="F23" s="183">
        <v>-34</v>
      </c>
      <c r="G23" s="174">
        <v>8.6999999999999993</v>
      </c>
      <c r="H23" s="174">
        <f t="shared" si="0"/>
        <v>2.6425679615757991</v>
      </c>
      <c r="I23" s="184">
        <v>2.63</v>
      </c>
      <c r="J23" s="185">
        <f t="shared" si="2"/>
        <v>4.7786926143723206E-3</v>
      </c>
      <c r="K23" s="399">
        <f>SUM(H23:H29)</f>
        <v>19.732536364573527</v>
      </c>
      <c r="L23" s="399">
        <f>SUM(I23:I29)</f>
        <v>16.899999999999999</v>
      </c>
      <c r="M23" s="400">
        <f>ABS(K23-L23)/L23</f>
        <v>0.16760570204577091</v>
      </c>
      <c r="N23" s="112"/>
      <c r="O23" s="111"/>
      <c r="P23" s="98"/>
      <c r="Q23" s="99"/>
      <c r="R23" s="80"/>
    </row>
    <row r="24" spans="1:18" x14ac:dyDescent="0.25">
      <c r="A24" s="174">
        <v>15</v>
      </c>
      <c r="B24" s="174" t="s">
        <v>182</v>
      </c>
      <c r="C24" s="174">
        <v>22.8</v>
      </c>
      <c r="D24" s="174">
        <v>2.2999999999999998</v>
      </c>
      <c r="E24" s="174">
        <f t="shared" si="1"/>
        <v>12.55</v>
      </c>
      <c r="F24" s="183">
        <v>-34</v>
      </c>
      <c r="G24" s="174">
        <v>8.6999999999999993</v>
      </c>
      <c r="H24" s="174">
        <f t="shared" si="0"/>
        <v>2.6772042414737665</v>
      </c>
      <c r="I24" s="184">
        <v>2.25</v>
      </c>
      <c r="J24" s="185">
        <f t="shared" si="2"/>
        <v>0.18986855176611842</v>
      </c>
      <c r="K24" s="399"/>
      <c r="L24" s="399"/>
      <c r="M24" s="400"/>
      <c r="N24" s="112"/>
      <c r="O24" s="111"/>
      <c r="P24" s="98"/>
      <c r="Q24" s="99"/>
      <c r="R24" s="80"/>
    </row>
    <row r="25" spans="1:18" x14ac:dyDescent="0.25">
      <c r="A25" s="174">
        <v>16</v>
      </c>
      <c r="B25" s="174" t="s">
        <v>182</v>
      </c>
      <c r="C25" s="174">
        <v>25.1</v>
      </c>
      <c r="D25" s="174">
        <v>0.1</v>
      </c>
      <c r="E25" s="174">
        <f t="shared" si="1"/>
        <v>12.600000000000001</v>
      </c>
      <c r="F25" s="183">
        <v>-34</v>
      </c>
      <c r="G25" s="174">
        <v>8.6999999999999993</v>
      </c>
      <c r="H25" s="174">
        <f t="shared" si="0"/>
        <v>2.9614799999999999</v>
      </c>
      <c r="I25" s="184">
        <v>2.2000000000000002</v>
      </c>
      <c r="J25" s="185">
        <f t="shared" si="2"/>
        <v>0.34612727272727256</v>
      </c>
      <c r="K25" s="399"/>
      <c r="L25" s="399"/>
      <c r="M25" s="400"/>
      <c r="N25" s="112"/>
      <c r="O25" s="111"/>
      <c r="P25" s="98"/>
      <c r="Q25" s="99"/>
      <c r="R25" s="80"/>
    </row>
    <row r="26" spans="1:18" x14ac:dyDescent="0.25">
      <c r="A26" s="174">
        <v>17</v>
      </c>
      <c r="B26" s="174" t="s">
        <v>182</v>
      </c>
      <c r="C26" s="174">
        <v>28.1</v>
      </c>
      <c r="D26" s="174">
        <v>1.4</v>
      </c>
      <c r="E26" s="174">
        <f t="shared" si="1"/>
        <v>14.75</v>
      </c>
      <c r="F26" s="183">
        <v>-34</v>
      </c>
      <c r="G26" s="174">
        <v>8.6999999999999993</v>
      </c>
      <c r="H26" s="174">
        <f t="shared" si="0"/>
        <v>3.2828153007787191</v>
      </c>
      <c r="I26" s="184">
        <v>2.4700000000000002</v>
      </c>
      <c r="J26" s="185">
        <f t="shared" si="2"/>
        <v>0.32907502055818577</v>
      </c>
      <c r="K26" s="399"/>
      <c r="L26" s="399"/>
      <c r="M26" s="400"/>
      <c r="N26" s="112"/>
      <c r="O26" s="111"/>
      <c r="P26" s="98"/>
      <c r="Q26" s="99"/>
      <c r="R26" s="80"/>
    </row>
    <row r="27" spans="1:18" x14ac:dyDescent="0.25">
      <c r="A27" s="174">
        <v>18</v>
      </c>
      <c r="B27" s="174" t="s">
        <v>182</v>
      </c>
      <c r="C27" s="174">
        <v>19.100000000000001</v>
      </c>
      <c r="D27" s="174">
        <v>4.5</v>
      </c>
      <c r="E27" s="174">
        <f t="shared" si="1"/>
        <v>11.8</v>
      </c>
      <c r="F27" s="183">
        <v>-34</v>
      </c>
      <c r="G27" s="174">
        <v>8.6999999999999993</v>
      </c>
      <c r="H27" s="174">
        <f t="shared" si="0"/>
        <v>2.2019933561621845</v>
      </c>
      <c r="I27" s="184">
        <v>3.51</v>
      </c>
      <c r="J27" s="185">
        <f t="shared" si="2"/>
        <v>0.37265146548085909</v>
      </c>
      <c r="K27" s="399"/>
      <c r="L27" s="399"/>
      <c r="M27" s="400"/>
      <c r="N27" s="112"/>
      <c r="O27" s="111"/>
      <c r="P27" s="98"/>
      <c r="Q27" s="99"/>
      <c r="R27" s="80"/>
    </row>
    <row r="28" spans="1:18" x14ac:dyDescent="0.25">
      <c r="A28" s="174">
        <v>19</v>
      </c>
      <c r="B28" s="174" t="s">
        <v>182</v>
      </c>
      <c r="C28" s="174">
        <v>23.4</v>
      </c>
      <c r="D28" s="174">
        <v>1.6</v>
      </c>
      <c r="E28" s="174">
        <f t="shared" si="1"/>
        <v>12.5</v>
      </c>
      <c r="F28" s="183">
        <v>-34</v>
      </c>
      <c r="G28" s="174">
        <v>8.6999999999999993</v>
      </c>
      <c r="H28" s="174">
        <f t="shared" si="0"/>
        <v>2.7561151059317162</v>
      </c>
      <c r="I28" s="184">
        <v>2.12</v>
      </c>
      <c r="J28" s="185">
        <f t="shared" si="2"/>
        <v>0.30005429525080946</v>
      </c>
      <c r="K28" s="399"/>
      <c r="L28" s="399"/>
      <c r="M28" s="400"/>
      <c r="N28" s="112"/>
      <c r="O28" s="111"/>
      <c r="P28" s="98"/>
      <c r="Q28" s="99"/>
      <c r="R28" s="80"/>
    </row>
    <row r="29" spans="1:18" x14ac:dyDescent="0.25">
      <c r="A29" s="174">
        <v>20</v>
      </c>
      <c r="B29" s="174" t="s">
        <v>182</v>
      </c>
      <c r="C29" s="174">
        <v>28</v>
      </c>
      <c r="D29" s="174">
        <v>5.2</v>
      </c>
      <c r="E29" s="174">
        <f t="shared" si="1"/>
        <v>16.600000000000001</v>
      </c>
      <c r="F29" s="183">
        <v>-34</v>
      </c>
      <c r="G29" s="174">
        <v>8.6999999999999993</v>
      </c>
      <c r="H29" s="174">
        <f t="shared" si="0"/>
        <v>3.2103603986513409</v>
      </c>
      <c r="I29" s="184">
        <v>1.72</v>
      </c>
      <c r="J29" s="185">
        <f t="shared" si="2"/>
        <v>0.86648860386705873</v>
      </c>
      <c r="K29" s="399"/>
      <c r="L29" s="399"/>
      <c r="M29" s="400"/>
      <c r="N29" s="112"/>
      <c r="O29" s="111"/>
      <c r="P29" s="98"/>
      <c r="Q29" s="99"/>
      <c r="R29" s="80"/>
    </row>
    <row r="30" spans="1:18" x14ac:dyDescent="0.25">
      <c r="A30" s="174">
        <v>21</v>
      </c>
      <c r="B30" s="174" t="s">
        <v>182</v>
      </c>
      <c r="C30" s="174">
        <v>26.7</v>
      </c>
      <c r="D30" s="174">
        <v>0</v>
      </c>
      <c r="E30" s="174">
        <f t="shared" si="1"/>
        <v>13.35</v>
      </c>
      <c r="F30" s="183">
        <v>-34</v>
      </c>
      <c r="G30" s="174">
        <v>8.6999999999999993</v>
      </c>
      <c r="H30" s="174">
        <f t="shared" si="0"/>
        <v>3.1380612402719414</v>
      </c>
      <c r="I30" s="184">
        <v>2.67</v>
      </c>
      <c r="J30" s="185">
        <f t="shared" si="2"/>
        <v>0.17530383530784327</v>
      </c>
      <c r="K30" s="402">
        <f>SUM(K2:K29)</f>
        <v>87.58328144529861</v>
      </c>
      <c r="L30" s="402">
        <f>SUM(L2:L29)</f>
        <v>78.699999999999989</v>
      </c>
      <c r="M30" s="400">
        <f>ABS(K30-L30)/L30</f>
        <v>0.11287524072806382</v>
      </c>
      <c r="N30" s="112"/>
      <c r="O30" s="111"/>
      <c r="P30" s="98"/>
      <c r="Q30" s="99"/>
      <c r="R30" s="80"/>
    </row>
    <row r="31" spans="1:18" x14ac:dyDescent="0.25">
      <c r="A31" s="174">
        <v>22</v>
      </c>
      <c r="B31" s="174" t="s">
        <v>182</v>
      </c>
      <c r="C31" s="174">
        <v>27.6</v>
      </c>
      <c r="D31" s="174">
        <v>3</v>
      </c>
      <c r="E31" s="174">
        <f t="shared" si="1"/>
        <v>15.3</v>
      </c>
      <c r="F31" s="183">
        <v>-34</v>
      </c>
      <c r="G31" s="174">
        <v>8.6999999999999993</v>
      </c>
      <c r="H31" s="174"/>
      <c r="I31" s="184"/>
      <c r="J31" s="185"/>
      <c r="K31" s="402"/>
      <c r="L31" s="402"/>
      <c r="M31" s="400"/>
      <c r="N31" s="102"/>
      <c r="O31" s="103"/>
      <c r="P31" s="98"/>
      <c r="Q31" s="99"/>
      <c r="R31" s="80"/>
    </row>
    <row r="32" spans="1:18" x14ac:dyDescent="0.25">
      <c r="A32" s="186"/>
      <c r="B32" s="186"/>
      <c r="C32" s="186"/>
      <c r="D32" s="186"/>
      <c r="E32" s="186"/>
      <c r="F32" s="186"/>
      <c r="G32" s="186"/>
      <c r="H32" s="187">
        <f>SUM(H2:H30)</f>
        <v>90.721342685570519</v>
      </c>
      <c r="I32" s="188">
        <f>SUM(I2:I31)</f>
        <v>81.370000000000019</v>
      </c>
      <c r="J32" s="189">
        <f>ABS(H32-I32)/I32</f>
        <v>0.11492371495109376</v>
      </c>
      <c r="K32" s="402"/>
      <c r="L32" s="402"/>
      <c r="M32" s="400"/>
      <c r="N32" s="101"/>
      <c r="O32" s="101"/>
      <c r="P32" s="97"/>
      <c r="Q32" s="97"/>
      <c r="R32" s="79"/>
    </row>
    <row r="33" spans="1:17" x14ac:dyDescent="0.25">
      <c r="A33" s="186"/>
      <c r="B33" s="186"/>
      <c r="C33" s="186"/>
      <c r="D33" s="186"/>
      <c r="E33" s="186"/>
      <c r="F33" s="186"/>
      <c r="G33" s="186"/>
      <c r="H33" s="174">
        <f>AVERAGE(H2:H32)</f>
        <v>6.0480895123713676</v>
      </c>
      <c r="I33" s="174">
        <f>AVERAGE(I2:I31)</f>
        <v>2.805862068965518</v>
      </c>
      <c r="J33" s="181"/>
      <c r="K33" s="402"/>
      <c r="L33" s="402"/>
      <c r="M33" s="400"/>
      <c r="N33" s="101"/>
      <c r="O33" s="102"/>
      <c r="P33" s="97"/>
      <c r="Q33" s="100"/>
    </row>
    <row r="34" spans="1:17" x14ac:dyDescent="0.25">
      <c r="L34" s="97"/>
      <c r="M34" s="97"/>
      <c r="N34" s="101"/>
      <c r="O34" s="101"/>
      <c r="P34" s="97"/>
      <c r="Q34" s="97"/>
    </row>
    <row r="42" spans="1:17" x14ac:dyDescent="0.25">
      <c r="A42" s="401" t="s">
        <v>189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</row>
    <row r="43" spans="1:17" x14ac:dyDescent="0.25">
      <c r="A43" s="92" t="s">
        <v>190</v>
      </c>
      <c r="B43" s="93" t="s">
        <v>191</v>
      </c>
      <c r="C43" s="94" t="s">
        <v>192</v>
      </c>
      <c r="D43" s="94" t="s">
        <v>193</v>
      </c>
      <c r="E43" s="94" t="s">
        <v>194</v>
      </c>
      <c r="F43" s="94" t="s">
        <v>195</v>
      </c>
      <c r="G43" s="94" t="s">
        <v>196</v>
      </c>
      <c r="H43" s="94" t="s">
        <v>197</v>
      </c>
      <c r="I43" s="94" t="s">
        <v>198</v>
      </c>
      <c r="J43" s="94" t="s">
        <v>199</v>
      </c>
      <c r="K43" s="94" t="s">
        <v>200</v>
      </c>
      <c r="L43" s="94" t="s">
        <v>201</v>
      </c>
      <c r="M43" s="94" t="s">
        <v>202</v>
      </c>
      <c r="N43" s="105" t="s">
        <v>203</v>
      </c>
    </row>
    <row r="44" spans="1:17" x14ac:dyDescent="0.25">
      <c r="A44" s="95" t="s">
        <v>204</v>
      </c>
      <c r="B44" s="95" t="s">
        <v>205</v>
      </c>
      <c r="C44" s="96">
        <v>1071</v>
      </c>
      <c r="D44" s="96">
        <v>847</v>
      </c>
      <c r="E44" s="96">
        <v>986</v>
      </c>
      <c r="F44" s="96">
        <v>803</v>
      </c>
      <c r="G44" s="96">
        <v>779</v>
      </c>
      <c r="H44" s="96" t="s">
        <v>188</v>
      </c>
      <c r="I44" s="96" t="s">
        <v>188</v>
      </c>
      <c r="J44" s="96" t="s">
        <v>188</v>
      </c>
      <c r="K44" s="96" t="s">
        <v>188</v>
      </c>
      <c r="L44" s="96" t="s">
        <v>188</v>
      </c>
      <c r="M44" s="96" t="s">
        <v>188</v>
      </c>
      <c r="N44" s="106" t="s">
        <v>188</v>
      </c>
    </row>
    <row r="45" spans="1:17" x14ac:dyDescent="0.25">
      <c r="A45" s="95" t="s">
        <v>206</v>
      </c>
      <c r="B45" s="95" t="s">
        <v>206</v>
      </c>
      <c r="C45" s="96">
        <v>1153</v>
      </c>
      <c r="D45" s="96">
        <v>1144</v>
      </c>
      <c r="E45" s="96">
        <v>909</v>
      </c>
      <c r="F45" s="96">
        <v>761</v>
      </c>
      <c r="G45" s="96">
        <v>580</v>
      </c>
      <c r="H45" s="96" t="s">
        <v>188</v>
      </c>
      <c r="I45" s="96" t="s">
        <v>188</v>
      </c>
      <c r="J45" s="96" t="s">
        <v>188</v>
      </c>
      <c r="K45" s="96" t="s">
        <v>188</v>
      </c>
      <c r="L45" s="96" t="s">
        <v>188</v>
      </c>
      <c r="M45" s="96" t="s">
        <v>188</v>
      </c>
      <c r="N45" s="106" t="s">
        <v>188</v>
      </c>
    </row>
    <row r="46" spans="1:17" x14ac:dyDescent="0.25">
      <c r="A46" s="95" t="s">
        <v>207</v>
      </c>
      <c r="B46" s="95" t="s">
        <v>207</v>
      </c>
      <c r="C46" s="96">
        <v>1277</v>
      </c>
      <c r="D46" s="96">
        <v>1109</v>
      </c>
      <c r="E46" s="96">
        <v>963</v>
      </c>
      <c r="F46" s="96">
        <v>832</v>
      </c>
      <c r="G46" s="96">
        <v>739</v>
      </c>
      <c r="H46" s="96" t="s">
        <v>188</v>
      </c>
      <c r="I46" s="96" t="s">
        <v>188</v>
      </c>
      <c r="J46" s="96" t="s">
        <v>188</v>
      </c>
      <c r="K46" s="96" t="s">
        <v>188</v>
      </c>
      <c r="L46" s="96" t="s">
        <v>188</v>
      </c>
      <c r="M46" s="96" t="s">
        <v>188</v>
      </c>
      <c r="N46" s="106" t="s">
        <v>188</v>
      </c>
    </row>
    <row r="47" spans="1:17" x14ac:dyDescent="0.25">
      <c r="A47" s="95" t="s">
        <v>208</v>
      </c>
      <c r="B47" s="95" t="s">
        <v>208</v>
      </c>
      <c r="C47" s="96">
        <v>1279</v>
      </c>
      <c r="D47" s="96">
        <v>1279</v>
      </c>
      <c r="E47" s="96">
        <v>1097</v>
      </c>
      <c r="F47" s="96">
        <v>1091</v>
      </c>
      <c r="G47" s="96">
        <v>888.1</v>
      </c>
      <c r="H47" s="96" t="s">
        <v>188</v>
      </c>
      <c r="I47" s="96" t="s">
        <v>188</v>
      </c>
      <c r="J47" s="96" t="s">
        <v>188</v>
      </c>
      <c r="K47" s="96" t="s">
        <v>188</v>
      </c>
      <c r="L47" s="96" t="s">
        <v>188</v>
      </c>
      <c r="M47" s="96" t="s">
        <v>188</v>
      </c>
      <c r="N47" s="106" t="s">
        <v>188</v>
      </c>
    </row>
    <row r="48" spans="1:17" x14ac:dyDescent="0.25">
      <c r="A48" s="95" t="s">
        <v>209</v>
      </c>
      <c r="B48" s="95" t="s">
        <v>210</v>
      </c>
      <c r="C48" s="96">
        <v>949</v>
      </c>
      <c r="D48" s="96">
        <v>989</v>
      </c>
      <c r="E48" s="96">
        <v>836</v>
      </c>
      <c r="F48" s="96">
        <v>662</v>
      </c>
      <c r="G48" s="96">
        <v>552</v>
      </c>
      <c r="H48" s="96" t="s">
        <v>188</v>
      </c>
      <c r="I48" s="96" t="s">
        <v>188</v>
      </c>
      <c r="J48" s="96" t="s">
        <v>188</v>
      </c>
      <c r="K48" s="96" t="s">
        <v>188</v>
      </c>
      <c r="L48" s="96" t="s">
        <v>188</v>
      </c>
      <c r="M48" s="96" t="s">
        <v>188</v>
      </c>
      <c r="N48" s="106" t="s">
        <v>188</v>
      </c>
    </row>
    <row r="49" spans="1:45" x14ac:dyDescent="0.25">
      <c r="A49" s="95" t="s">
        <v>204</v>
      </c>
      <c r="B49" s="95" t="s">
        <v>204</v>
      </c>
      <c r="C49" s="96" t="s">
        <v>188</v>
      </c>
      <c r="D49" s="96">
        <v>23</v>
      </c>
      <c r="E49" s="96" t="s">
        <v>188</v>
      </c>
      <c r="F49" s="96">
        <v>814</v>
      </c>
      <c r="G49" s="96">
        <v>818</v>
      </c>
      <c r="H49" s="96" t="s">
        <v>188</v>
      </c>
      <c r="I49" s="96" t="s">
        <v>188</v>
      </c>
      <c r="J49" s="96" t="s">
        <v>188</v>
      </c>
      <c r="K49" s="96" t="s">
        <v>188</v>
      </c>
      <c r="L49" s="96" t="s">
        <v>188</v>
      </c>
      <c r="M49" s="96" t="s">
        <v>188</v>
      </c>
      <c r="N49" s="106" t="s">
        <v>188</v>
      </c>
    </row>
    <row r="50" spans="1:45" x14ac:dyDescent="0.25">
      <c r="A50" s="95" t="s">
        <v>211</v>
      </c>
      <c r="B50" s="95" t="s">
        <v>211</v>
      </c>
      <c r="C50" s="96">
        <v>1044</v>
      </c>
      <c r="D50" s="96">
        <v>933</v>
      </c>
      <c r="E50" s="96">
        <v>876</v>
      </c>
      <c r="F50" s="96">
        <v>774</v>
      </c>
      <c r="G50" s="96">
        <v>608</v>
      </c>
      <c r="H50" s="96" t="s">
        <v>188</v>
      </c>
      <c r="I50" s="96" t="s">
        <v>188</v>
      </c>
      <c r="J50" s="96" t="s">
        <v>188</v>
      </c>
      <c r="K50" s="96" t="s">
        <v>188</v>
      </c>
      <c r="L50" s="96" t="s">
        <v>188</v>
      </c>
      <c r="M50" s="96" t="s">
        <v>188</v>
      </c>
      <c r="N50" s="106" t="s">
        <v>188</v>
      </c>
    </row>
    <row r="51" spans="1:45" x14ac:dyDescent="0.25">
      <c r="A51" s="95" t="s">
        <v>212</v>
      </c>
      <c r="B51" s="95" t="s">
        <v>213</v>
      </c>
      <c r="C51" s="96">
        <v>1277</v>
      </c>
      <c r="D51" s="96">
        <v>1197</v>
      </c>
      <c r="E51" s="96">
        <v>1141</v>
      </c>
      <c r="F51" s="96">
        <v>861</v>
      </c>
      <c r="G51" s="96">
        <v>744</v>
      </c>
      <c r="H51" s="96" t="s">
        <v>188</v>
      </c>
      <c r="I51" s="96" t="s">
        <v>188</v>
      </c>
      <c r="J51" s="96" t="s">
        <v>188</v>
      </c>
      <c r="K51" s="96" t="s">
        <v>188</v>
      </c>
      <c r="L51" s="96" t="s">
        <v>188</v>
      </c>
      <c r="M51" s="96" t="s">
        <v>188</v>
      </c>
      <c r="N51" s="106" t="s">
        <v>188</v>
      </c>
      <c r="O51" s="107">
        <v>23</v>
      </c>
      <c r="P51" s="87">
        <v>24</v>
      </c>
      <c r="Q51" s="87">
        <v>25</v>
      </c>
      <c r="R51" s="87">
        <v>26</v>
      </c>
      <c r="S51" s="87">
        <v>27</v>
      </c>
      <c r="T51" s="87">
        <v>28</v>
      </c>
      <c r="U51" s="87">
        <v>29</v>
      </c>
      <c r="V51" s="87">
        <v>30</v>
      </c>
      <c r="W51" s="87">
        <v>1</v>
      </c>
      <c r="X51" s="87">
        <v>2</v>
      </c>
      <c r="Y51" s="87">
        <v>3</v>
      </c>
      <c r="Z51" s="87">
        <v>4</v>
      </c>
      <c r="AA51" s="87">
        <v>5</v>
      </c>
      <c r="AB51" s="87">
        <v>6</v>
      </c>
      <c r="AC51" s="87">
        <v>7</v>
      </c>
      <c r="AD51" s="87">
        <v>8</v>
      </c>
      <c r="AE51" s="87">
        <v>9</v>
      </c>
      <c r="AF51" s="87">
        <v>10</v>
      </c>
      <c r="AG51" s="87">
        <v>11</v>
      </c>
      <c r="AH51" s="87">
        <v>12</v>
      </c>
      <c r="AI51" s="87">
        <v>13</v>
      </c>
      <c r="AJ51" s="87">
        <v>14</v>
      </c>
      <c r="AK51" s="87">
        <v>15</v>
      </c>
      <c r="AL51" s="87">
        <v>16</v>
      </c>
      <c r="AM51" s="87">
        <v>17</v>
      </c>
      <c r="AN51" s="87">
        <v>18</v>
      </c>
      <c r="AO51" s="87">
        <v>19</v>
      </c>
      <c r="AP51" s="87">
        <v>20</v>
      </c>
      <c r="AQ51" s="87">
        <v>21</v>
      </c>
      <c r="AR51" s="87">
        <v>22</v>
      </c>
      <c r="AS51" s="88"/>
    </row>
    <row r="52" spans="1:45" x14ac:dyDescent="0.25">
      <c r="A52" s="95" t="s">
        <v>214</v>
      </c>
      <c r="B52" s="95" t="s">
        <v>214</v>
      </c>
      <c r="C52" s="96">
        <v>1175</v>
      </c>
      <c r="D52" s="96">
        <v>1178.2</v>
      </c>
      <c r="E52" s="96">
        <v>913.8</v>
      </c>
      <c r="F52" s="96">
        <v>776.6</v>
      </c>
      <c r="G52" s="96">
        <v>607.9</v>
      </c>
      <c r="H52" s="96" t="s">
        <v>188</v>
      </c>
      <c r="I52" s="96" t="s">
        <v>188</v>
      </c>
      <c r="J52" s="96" t="s">
        <v>188</v>
      </c>
      <c r="K52" s="96" t="s">
        <v>188</v>
      </c>
      <c r="L52" s="96" t="s">
        <v>188</v>
      </c>
      <c r="M52" s="96" t="s">
        <v>188</v>
      </c>
      <c r="N52" s="106" t="s">
        <v>188</v>
      </c>
      <c r="O52" s="108">
        <v>3.88</v>
      </c>
      <c r="P52" s="14">
        <v>2.99</v>
      </c>
      <c r="Q52" s="14">
        <v>3.68</v>
      </c>
      <c r="R52" s="14">
        <v>2.69</v>
      </c>
      <c r="S52" s="14">
        <v>3.2</v>
      </c>
      <c r="T52" s="14">
        <v>3.63</v>
      </c>
      <c r="U52" s="14">
        <v>3.62</v>
      </c>
      <c r="V52" s="14">
        <v>3.02</v>
      </c>
      <c r="W52" s="14">
        <v>3.7</v>
      </c>
      <c r="X52" s="14">
        <v>2.83</v>
      </c>
      <c r="Y52" s="14">
        <v>3.12</v>
      </c>
      <c r="Z52" s="14">
        <v>2.86</v>
      </c>
      <c r="AA52" s="14">
        <v>2.63</v>
      </c>
      <c r="AB52" s="14">
        <v>2.56</v>
      </c>
      <c r="AC52" s="14">
        <v>1.92</v>
      </c>
      <c r="AD52" s="14">
        <v>1.8</v>
      </c>
      <c r="AE52" s="14">
        <v>2.88</v>
      </c>
      <c r="AF52" s="14">
        <v>3.18</v>
      </c>
      <c r="AG52" s="14">
        <v>2.42</v>
      </c>
      <c r="AH52" s="14">
        <v>2.33</v>
      </c>
      <c r="AI52" s="14">
        <v>2.86</v>
      </c>
      <c r="AJ52" s="14">
        <v>2.63</v>
      </c>
      <c r="AK52" s="14">
        <v>2.25</v>
      </c>
      <c r="AL52" s="14">
        <v>2.2000000000000002</v>
      </c>
      <c r="AM52" s="14">
        <v>2.4700000000000002</v>
      </c>
      <c r="AN52" s="14">
        <v>3.51</v>
      </c>
      <c r="AO52" s="14">
        <v>2.12</v>
      </c>
      <c r="AP52" s="14">
        <v>1.72</v>
      </c>
      <c r="AQ52" s="14">
        <v>2.67</v>
      </c>
      <c r="AR52" s="14" t="s">
        <v>188</v>
      </c>
      <c r="AS52" s="86"/>
    </row>
    <row r="53" spans="1:45" x14ac:dyDescent="0.25">
      <c r="F53">
        <f>AVERAGE(F44:F52)</f>
        <v>819.40000000000009</v>
      </c>
      <c r="G53">
        <f>AVERAGE(G44:G52)</f>
        <v>701.77777777777783</v>
      </c>
      <c r="H53" s="96">
        <f>2000*0.0352</f>
        <v>70.400000000000006</v>
      </c>
    </row>
    <row r="54" spans="1:45" x14ac:dyDescent="0.25">
      <c r="F54">
        <f>F53*0.0352</f>
        <v>28.842880000000005</v>
      </c>
      <c r="G54">
        <f>G53*0.0352</f>
        <v>24.70257777777778</v>
      </c>
    </row>
    <row r="55" spans="1:45" x14ac:dyDescent="0.25">
      <c r="F55">
        <f>F54/30</f>
        <v>0.96142933333333347</v>
      </c>
      <c r="G55">
        <f>G54/31</f>
        <v>0.79685734767025096</v>
      </c>
    </row>
    <row r="63" spans="1:45" x14ac:dyDescent="0.25">
      <c r="A63" s="89" t="s">
        <v>183</v>
      </c>
      <c r="B63" s="21" t="s">
        <v>184</v>
      </c>
      <c r="C63" s="23" t="s">
        <v>185</v>
      </c>
      <c r="D63" s="24" t="s">
        <v>186</v>
      </c>
      <c r="E63" s="89" t="s">
        <v>183</v>
      </c>
      <c r="F63" s="90">
        <v>24</v>
      </c>
      <c r="G63" s="90">
        <v>25</v>
      </c>
      <c r="H63" s="90">
        <v>26</v>
      </c>
      <c r="I63" s="90">
        <v>27</v>
      </c>
      <c r="J63" s="90">
        <v>28</v>
      </c>
      <c r="K63" s="90">
        <v>29</v>
      </c>
      <c r="L63" s="90">
        <v>30</v>
      </c>
      <c r="M63" s="90">
        <v>1</v>
      </c>
      <c r="N63" s="109">
        <v>2</v>
      </c>
      <c r="O63" s="109">
        <v>3</v>
      </c>
      <c r="P63" s="90">
        <v>4</v>
      </c>
      <c r="Q63" s="90">
        <v>5</v>
      </c>
      <c r="R63" s="90">
        <v>6</v>
      </c>
      <c r="S63" s="90">
        <v>7</v>
      </c>
      <c r="T63" s="90">
        <v>8</v>
      </c>
      <c r="U63" s="90">
        <v>9</v>
      </c>
      <c r="V63" s="90">
        <v>10</v>
      </c>
      <c r="W63" s="90">
        <v>11</v>
      </c>
      <c r="X63" s="90">
        <v>12</v>
      </c>
      <c r="Y63" s="90">
        <v>13</v>
      </c>
      <c r="Z63" s="90">
        <v>14</v>
      </c>
      <c r="AA63" s="90">
        <v>15</v>
      </c>
      <c r="AB63" s="90">
        <v>16</v>
      </c>
      <c r="AC63" s="90">
        <v>17</v>
      </c>
      <c r="AD63" s="90">
        <v>18</v>
      </c>
      <c r="AE63" s="90">
        <v>19</v>
      </c>
      <c r="AF63" s="90">
        <v>20</v>
      </c>
      <c r="AG63" s="90">
        <v>21</v>
      </c>
      <c r="AH63" s="90">
        <v>22</v>
      </c>
      <c r="AI63" s="90">
        <v>23</v>
      </c>
      <c r="AJ63" s="22"/>
    </row>
    <row r="64" spans="1:45" x14ac:dyDescent="0.25">
      <c r="A64" s="90">
        <v>24</v>
      </c>
      <c r="B64" s="20">
        <v>23.3</v>
      </c>
      <c r="C64" s="20">
        <v>3.7</v>
      </c>
      <c r="D64" s="20">
        <v>19.600000000000001</v>
      </c>
      <c r="E64" s="21" t="s">
        <v>184</v>
      </c>
      <c r="F64" s="20">
        <v>23.3</v>
      </c>
      <c r="G64" s="20">
        <v>28.4</v>
      </c>
      <c r="H64" s="20">
        <v>21.4</v>
      </c>
      <c r="I64" s="20">
        <v>25.4</v>
      </c>
      <c r="J64" s="20">
        <v>33</v>
      </c>
      <c r="K64" s="20">
        <v>23.4</v>
      </c>
      <c r="L64" s="20">
        <v>28.3</v>
      </c>
      <c r="M64" s="20">
        <v>28</v>
      </c>
      <c r="N64" s="110">
        <v>26.2</v>
      </c>
      <c r="O64" s="110">
        <v>29</v>
      </c>
      <c r="P64" s="20">
        <v>22.5</v>
      </c>
      <c r="Q64" s="20">
        <v>25</v>
      </c>
      <c r="R64" s="20">
        <v>24.4</v>
      </c>
      <c r="S64" s="20">
        <v>17.8</v>
      </c>
      <c r="T64" s="20">
        <v>15.9</v>
      </c>
      <c r="U64" s="20">
        <v>28.1</v>
      </c>
      <c r="V64" s="20">
        <v>31.2</v>
      </c>
      <c r="W64" s="20">
        <v>24.2</v>
      </c>
      <c r="X64" s="20">
        <v>23.4</v>
      </c>
      <c r="Y64" s="20">
        <v>22.7</v>
      </c>
      <c r="Z64" s="20">
        <v>26.7</v>
      </c>
      <c r="AA64" s="20">
        <v>22.3</v>
      </c>
      <c r="AB64" s="20">
        <v>22.8</v>
      </c>
      <c r="AC64" s="20">
        <v>25.1</v>
      </c>
      <c r="AD64" s="20">
        <v>28.1</v>
      </c>
      <c r="AE64" s="20">
        <v>19.100000000000001</v>
      </c>
      <c r="AF64" s="20">
        <v>23.4</v>
      </c>
      <c r="AG64" s="20">
        <v>28</v>
      </c>
      <c r="AH64" s="20">
        <v>26.7</v>
      </c>
      <c r="AI64" s="20">
        <v>27.6</v>
      </c>
      <c r="AJ64" s="22"/>
    </row>
    <row r="65" spans="1:42" x14ac:dyDescent="0.25">
      <c r="A65" s="90">
        <v>25</v>
      </c>
      <c r="B65" s="20">
        <v>28.4</v>
      </c>
      <c r="C65" s="20">
        <v>5.3</v>
      </c>
      <c r="D65" s="20">
        <v>23.1</v>
      </c>
      <c r="E65" s="23" t="s">
        <v>185</v>
      </c>
      <c r="F65" s="20">
        <v>3.7</v>
      </c>
      <c r="G65" s="20">
        <v>5.3</v>
      </c>
      <c r="H65" s="20">
        <v>4.0999999999999996</v>
      </c>
      <c r="I65" s="20">
        <v>3.9</v>
      </c>
      <c r="J65" s="20">
        <v>4.7</v>
      </c>
      <c r="K65" s="20">
        <v>2.5</v>
      </c>
      <c r="L65" s="20">
        <v>4.7</v>
      </c>
      <c r="M65" s="20">
        <v>3.8</v>
      </c>
      <c r="N65" s="110">
        <v>4.4000000000000004</v>
      </c>
      <c r="O65" s="110">
        <v>3.7</v>
      </c>
      <c r="P65" s="20">
        <v>3.1</v>
      </c>
      <c r="Q65" s="20">
        <v>2.9</v>
      </c>
      <c r="R65" s="20">
        <v>4.0999999999999996</v>
      </c>
      <c r="S65" s="20">
        <v>5</v>
      </c>
      <c r="T65" s="20">
        <v>4.9000000000000004</v>
      </c>
      <c r="U65" s="20">
        <v>3.1</v>
      </c>
      <c r="V65" s="20">
        <v>4.5999999999999996</v>
      </c>
      <c r="W65" s="20">
        <v>5</v>
      </c>
      <c r="X65" s="20">
        <v>2</v>
      </c>
      <c r="Y65" s="20">
        <v>4.5</v>
      </c>
      <c r="Z65" s="20">
        <v>2.1</v>
      </c>
      <c r="AA65" s="20">
        <v>1.2</v>
      </c>
      <c r="AB65" s="20">
        <v>2.2999999999999998</v>
      </c>
      <c r="AC65" s="20">
        <v>0.1</v>
      </c>
      <c r="AD65" s="20">
        <v>1.4</v>
      </c>
      <c r="AE65" s="20">
        <v>4.5</v>
      </c>
      <c r="AF65" s="20">
        <v>1.6</v>
      </c>
      <c r="AG65" s="20">
        <v>5.2</v>
      </c>
      <c r="AH65" s="91">
        <v>0</v>
      </c>
      <c r="AI65" s="20">
        <v>3</v>
      </c>
      <c r="AJ65" s="22"/>
    </row>
    <row r="66" spans="1:42" x14ac:dyDescent="0.25">
      <c r="A66" s="90">
        <v>26</v>
      </c>
      <c r="B66" s="20">
        <v>21.4</v>
      </c>
      <c r="C66" s="20">
        <v>4.0999999999999996</v>
      </c>
      <c r="D66" s="20">
        <v>17.3</v>
      </c>
      <c r="E66" s="24" t="s">
        <v>186</v>
      </c>
      <c r="F66" s="20">
        <v>19.600000000000001</v>
      </c>
      <c r="G66" s="20">
        <v>23.1</v>
      </c>
      <c r="H66" s="20">
        <v>17.3</v>
      </c>
      <c r="I66" s="20">
        <v>21.5</v>
      </c>
      <c r="J66" s="20">
        <v>28.3</v>
      </c>
      <c r="K66" s="20">
        <v>20.9</v>
      </c>
      <c r="L66" s="20">
        <v>23.6</v>
      </c>
      <c r="M66" s="20">
        <v>24.2</v>
      </c>
      <c r="N66" s="110">
        <v>21.8</v>
      </c>
      <c r="O66" s="110">
        <v>25.3</v>
      </c>
      <c r="P66" s="20">
        <v>19.399999999999999</v>
      </c>
      <c r="Q66" s="20">
        <v>22.1</v>
      </c>
      <c r="R66" s="20">
        <v>20.3</v>
      </c>
      <c r="S66" s="20">
        <v>12.8</v>
      </c>
      <c r="T66" s="20">
        <v>11</v>
      </c>
      <c r="U66" s="20">
        <v>25</v>
      </c>
      <c r="V66" s="20">
        <v>26.6</v>
      </c>
      <c r="W66" s="20">
        <v>19.2</v>
      </c>
      <c r="X66" s="20">
        <v>21.4</v>
      </c>
      <c r="Y66" s="20">
        <v>18.2</v>
      </c>
      <c r="Z66" s="20">
        <v>24.6</v>
      </c>
      <c r="AA66" s="20">
        <v>21.1</v>
      </c>
      <c r="AB66" s="20">
        <v>20.5</v>
      </c>
      <c r="AC66" s="20">
        <v>25</v>
      </c>
      <c r="AD66" s="20">
        <v>26.7</v>
      </c>
      <c r="AE66" s="20">
        <v>14.6</v>
      </c>
      <c r="AF66" s="20">
        <v>21.8</v>
      </c>
      <c r="AG66" s="20">
        <v>22.8</v>
      </c>
      <c r="AH66" s="20">
        <v>26.7</v>
      </c>
      <c r="AI66" s="20">
        <v>24.6</v>
      </c>
      <c r="AJ66" s="19"/>
    </row>
    <row r="67" spans="1:42" x14ac:dyDescent="0.25">
      <c r="A67" s="90">
        <v>27</v>
      </c>
      <c r="B67" s="20">
        <v>25.4</v>
      </c>
      <c r="C67" s="20">
        <v>3.9</v>
      </c>
      <c r="D67" s="20">
        <v>21.5</v>
      </c>
    </row>
    <row r="68" spans="1:42" x14ac:dyDescent="0.25">
      <c r="A68" s="90">
        <v>28</v>
      </c>
      <c r="B68" s="20">
        <v>33</v>
      </c>
      <c r="C68" s="20">
        <v>4.7</v>
      </c>
      <c r="D68" s="20">
        <v>28.3</v>
      </c>
    </row>
    <row r="69" spans="1:42" x14ac:dyDescent="0.25">
      <c r="A69" s="90">
        <v>29</v>
      </c>
      <c r="B69" s="20">
        <v>23.4</v>
      </c>
      <c r="C69" s="20">
        <v>2.5</v>
      </c>
      <c r="D69" s="20">
        <v>20.9</v>
      </c>
    </row>
    <row r="70" spans="1:42" x14ac:dyDescent="0.25">
      <c r="A70" s="90">
        <v>30</v>
      </c>
      <c r="B70" s="20">
        <v>28.3</v>
      </c>
      <c r="C70" s="20">
        <v>4.7</v>
      </c>
      <c r="D70" s="20">
        <v>23.6</v>
      </c>
    </row>
    <row r="71" spans="1:42" x14ac:dyDescent="0.25">
      <c r="A71" s="90">
        <v>1</v>
      </c>
      <c r="B71" s="20">
        <v>28</v>
      </c>
      <c r="C71" s="20">
        <v>3.8</v>
      </c>
      <c r="D71" s="20">
        <v>24.2</v>
      </c>
      <c r="J71" s="87">
        <v>23</v>
      </c>
      <c r="K71" s="14">
        <v>3.88</v>
      </c>
      <c r="L71" s="14">
        <v>677</v>
      </c>
      <c r="M71" s="14">
        <f>L71*0.0352</f>
        <v>23.830400000000001</v>
      </c>
      <c r="N71" s="108">
        <v>679</v>
      </c>
      <c r="O71" s="108">
        <v>679</v>
      </c>
      <c r="P71" s="14">
        <v>674</v>
      </c>
      <c r="Q71" s="14">
        <v>713</v>
      </c>
      <c r="R71" s="14">
        <v>688</v>
      </c>
      <c r="S71" s="14">
        <v>682</v>
      </c>
      <c r="T71" s="14">
        <v>677</v>
      </c>
      <c r="U71" s="14">
        <v>673</v>
      </c>
      <c r="V71" s="14">
        <v>677</v>
      </c>
      <c r="W71" s="14">
        <v>657</v>
      </c>
      <c r="X71" s="14">
        <v>628</v>
      </c>
      <c r="Y71" s="14">
        <v>691</v>
      </c>
      <c r="Z71" s="14">
        <v>639</v>
      </c>
      <c r="AA71" s="14">
        <v>452</v>
      </c>
      <c r="AB71" s="14">
        <v>629</v>
      </c>
      <c r="AC71" s="14">
        <v>629</v>
      </c>
      <c r="AD71" s="14">
        <v>622</v>
      </c>
      <c r="AE71" s="14">
        <v>616</v>
      </c>
      <c r="AF71" s="14">
        <v>636</v>
      </c>
      <c r="AG71" s="14">
        <v>619</v>
      </c>
      <c r="AH71" s="14">
        <v>621</v>
      </c>
      <c r="AI71" s="14">
        <v>613</v>
      </c>
      <c r="AJ71" s="14">
        <v>619</v>
      </c>
      <c r="AK71" s="14">
        <v>606</v>
      </c>
      <c r="AL71" s="14">
        <v>739</v>
      </c>
      <c r="AM71" s="14">
        <v>567</v>
      </c>
      <c r="AN71" s="14">
        <v>583</v>
      </c>
      <c r="AO71" s="14">
        <v>583</v>
      </c>
      <c r="AP71" s="14">
        <v>607</v>
      </c>
    </row>
    <row r="72" spans="1:42" x14ac:dyDescent="0.25">
      <c r="A72" s="90">
        <v>2</v>
      </c>
      <c r="B72" s="20">
        <v>26.2</v>
      </c>
      <c r="C72" s="20">
        <v>4.4000000000000004</v>
      </c>
      <c r="D72" s="20">
        <v>21.8</v>
      </c>
      <c r="J72" s="87">
        <v>24</v>
      </c>
      <c r="K72" s="14">
        <v>2.99</v>
      </c>
      <c r="L72" s="14">
        <v>679</v>
      </c>
      <c r="M72" s="14">
        <f t="shared" ref="M72:M100" si="3">L72*0.0352</f>
        <v>23.9008</v>
      </c>
    </row>
    <row r="73" spans="1:42" x14ac:dyDescent="0.25">
      <c r="A73" s="90">
        <v>3</v>
      </c>
      <c r="B73" s="20">
        <v>29</v>
      </c>
      <c r="C73" s="20">
        <v>3.7</v>
      </c>
      <c r="D73" s="20">
        <v>25.3</v>
      </c>
      <c r="J73" s="87">
        <v>25</v>
      </c>
      <c r="K73" s="14">
        <v>3.68</v>
      </c>
      <c r="L73" s="14">
        <v>679</v>
      </c>
      <c r="M73" s="14">
        <f t="shared" si="3"/>
        <v>23.9008</v>
      </c>
    </row>
    <row r="74" spans="1:42" x14ac:dyDescent="0.25">
      <c r="A74" s="90">
        <v>4</v>
      </c>
      <c r="B74" s="20">
        <v>22.5</v>
      </c>
      <c r="C74" s="20">
        <v>3.1</v>
      </c>
      <c r="D74" s="20">
        <v>19.399999999999999</v>
      </c>
      <c r="J74" s="87">
        <v>26</v>
      </c>
      <c r="K74" s="14">
        <v>2.69</v>
      </c>
      <c r="L74" s="14">
        <v>674</v>
      </c>
      <c r="M74" s="14">
        <f t="shared" si="3"/>
        <v>23.724800000000002</v>
      </c>
    </row>
    <row r="75" spans="1:42" x14ac:dyDescent="0.25">
      <c r="A75" s="90">
        <v>5</v>
      </c>
      <c r="B75" s="20">
        <v>25</v>
      </c>
      <c r="C75" s="20">
        <v>2.9</v>
      </c>
      <c r="D75" s="20">
        <v>22.1</v>
      </c>
      <c r="J75" s="87">
        <v>27</v>
      </c>
      <c r="K75" s="14">
        <v>3.2</v>
      </c>
      <c r="L75" s="14">
        <v>713</v>
      </c>
      <c r="M75" s="14">
        <f t="shared" si="3"/>
        <v>25.0976</v>
      </c>
    </row>
    <row r="76" spans="1:42" x14ac:dyDescent="0.25">
      <c r="A76" s="90">
        <v>6</v>
      </c>
      <c r="B76" s="20">
        <v>24.4</v>
      </c>
      <c r="C76" s="20">
        <v>4.0999999999999996</v>
      </c>
      <c r="D76" s="20">
        <v>20.3</v>
      </c>
      <c r="J76" s="87">
        <v>28</v>
      </c>
      <c r="K76" s="14">
        <v>3.63</v>
      </c>
      <c r="L76" s="14">
        <v>688</v>
      </c>
      <c r="M76" s="14">
        <f t="shared" si="3"/>
        <v>24.217600000000001</v>
      </c>
    </row>
    <row r="77" spans="1:42" x14ac:dyDescent="0.25">
      <c r="A77" s="90">
        <v>7</v>
      </c>
      <c r="B77" s="20">
        <v>17.8</v>
      </c>
      <c r="C77" s="20">
        <v>5</v>
      </c>
      <c r="D77" s="20">
        <v>12.8</v>
      </c>
      <c r="J77" s="87">
        <v>29</v>
      </c>
      <c r="K77" s="14">
        <v>3.62</v>
      </c>
      <c r="L77" s="14">
        <v>682</v>
      </c>
      <c r="M77" s="14">
        <f t="shared" si="3"/>
        <v>24.006400000000003</v>
      </c>
    </row>
    <row r="78" spans="1:42" x14ac:dyDescent="0.25">
      <c r="A78" s="90">
        <v>8</v>
      </c>
      <c r="B78" s="20">
        <v>15.9</v>
      </c>
      <c r="C78" s="20">
        <v>4.9000000000000004</v>
      </c>
      <c r="D78" s="20">
        <v>11</v>
      </c>
      <c r="J78" s="87">
        <v>30</v>
      </c>
      <c r="K78" s="14">
        <v>3.02</v>
      </c>
      <c r="L78" s="14">
        <v>677</v>
      </c>
      <c r="M78" s="14">
        <f t="shared" si="3"/>
        <v>23.830400000000001</v>
      </c>
    </row>
    <row r="79" spans="1:42" x14ac:dyDescent="0.25">
      <c r="A79" s="90">
        <v>9</v>
      </c>
      <c r="B79" s="20">
        <v>28.1</v>
      </c>
      <c r="C79" s="20">
        <v>3.1</v>
      </c>
      <c r="D79" s="20">
        <v>25</v>
      </c>
      <c r="J79" s="87">
        <v>1</v>
      </c>
      <c r="K79" s="14">
        <v>3.7</v>
      </c>
      <c r="L79" s="14">
        <v>673</v>
      </c>
      <c r="M79" s="14">
        <f t="shared" si="3"/>
        <v>23.689600000000002</v>
      </c>
    </row>
    <row r="80" spans="1:42" x14ac:dyDescent="0.25">
      <c r="A80" s="90">
        <v>10</v>
      </c>
      <c r="B80" s="20">
        <v>31.2</v>
      </c>
      <c r="C80" s="20">
        <v>4.5999999999999996</v>
      </c>
      <c r="D80" s="20">
        <v>26.6</v>
      </c>
      <c r="J80" s="87">
        <v>2</v>
      </c>
      <c r="K80" s="14">
        <v>2.83</v>
      </c>
      <c r="L80" s="14">
        <v>677</v>
      </c>
      <c r="M80" s="14">
        <f t="shared" si="3"/>
        <v>23.830400000000001</v>
      </c>
    </row>
    <row r="81" spans="1:13" x14ac:dyDescent="0.25">
      <c r="A81" s="90">
        <v>11</v>
      </c>
      <c r="B81" s="20">
        <v>24.2</v>
      </c>
      <c r="C81" s="20">
        <v>5</v>
      </c>
      <c r="D81" s="20">
        <v>19.2</v>
      </c>
      <c r="J81" s="87">
        <v>3</v>
      </c>
      <c r="K81" s="14">
        <v>3.12</v>
      </c>
      <c r="L81" s="14">
        <v>657</v>
      </c>
      <c r="M81" s="14">
        <f t="shared" si="3"/>
        <v>23.1264</v>
      </c>
    </row>
    <row r="82" spans="1:13" x14ac:dyDescent="0.25">
      <c r="A82" s="90">
        <v>12</v>
      </c>
      <c r="B82" s="20">
        <v>23.4</v>
      </c>
      <c r="C82" s="20">
        <v>2</v>
      </c>
      <c r="D82" s="20">
        <v>21.4</v>
      </c>
      <c r="J82" s="87">
        <v>4</v>
      </c>
      <c r="K82" s="14">
        <v>2.86</v>
      </c>
      <c r="L82" s="14">
        <v>628</v>
      </c>
      <c r="M82" s="14">
        <f t="shared" si="3"/>
        <v>22.105600000000003</v>
      </c>
    </row>
    <row r="83" spans="1:13" x14ac:dyDescent="0.25">
      <c r="A83" s="90">
        <v>13</v>
      </c>
      <c r="B83" s="20">
        <v>22.7</v>
      </c>
      <c r="C83" s="20">
        <v>4.5</v>
      </c>
      <c r="D83" s="20">
        <v>18.2</v>
      </c>
      <c r="J83" s="87">
        <v>5</v>
      </c>
      <c r="K83" s="14">
        <v>2.63</v>
      </c>
      <c r="L83" s="14">
        <v>691</v>
      </c>
      <c r="M83" s="14">
        <f t="shared" si="3"/>
        <v>24.3232</v>
      </c>
    </row>
    <row r="84" spans="1:13" x14ac:dyDescent="0.25">
      <c r="A84" s="90">
        <v>14</v>
      </c>
      <c r="B84" s="20">
        <v>26.7</v>
      </c>
      <c r="C84" s="20">
        <v>2.1</v>
      </c>
      <c r="D84" s="20">
        <v>24.6</v>
      </c>
      <c r="J84" s="87">
        <v>6</v>
      </c>
      <c r="K84" s="14">
        <v>2.56</v>
      </c>
      <c r="L84" s="14">
        <v>639</v>
      </c>
      <c r="M84" s="14">
        <f t="shared" si="3"/>
        <v>22.492800000000003</v>
      </c>
    </row>
    <row r="85" spans="1:13" x14ac:dyDescent="0.25">
      <c r="A85" s="90">
        <v>15</v>
      </c>
      <c r="B85" s="20">
        <v>22.3</v>
      </c>
      <c r="C85" s="20">
        <v>1.2</v>
      </c>
      <c r="D85" s="20">
        <v>21.1</v>
      </c>
      <c r="J85" s="87">
        <v>7</v>
      </c>
      <c r="K85" s="14">
        <v>1.92</v>
      </c>
      <c r="L85" s="14">
        <v>452</v>
      </c>
      <c r="M85" s="14">
        <f t="shared" si="3"/>
        <v>15.910400000000001</v>
      </c>
    </row>
    <row r="86" spans="1:13" x14ac:dyDescent="0.25">
      <c r="A86" s="90">
        <v>16</v>
      </c>
      <c r="B86" s="20">
        <v>22.8</v>
      </c>
      <c r="C86" s="20">
        <v>2.2999999999999998</v>
      </c>
      <c r="D86" s="20">
        <v>20.5</v>
      </c>
      <c r="J86" s="87">
        <v>8</v>
      </c>
      <c r="K86" s="14">
        <v>1.8</v>
      </c>
      <c r="L86" s="14">
        <v>629</v>
      </c>
      <c r="M86" s="14">
        <f t="shared" si="3"/>
        <v>22.140800000000002</v>
      </c>
    </row>
    <row r="87" spans="1:13" x14ac:dyDescent="0.25">
      <c r="A87" s="90">
        <v>17</v>
      </c>
      <c r="B87" s="20">
        <v>25.1</v>
      </c>
      <c r="C87" s="20">
        <v>0.1</v>
      </c>
      <c r="D87" s="20">
        <v>25</v>
      </c>
      <c r="J87" s="87">
        <v>9</v>
      </c>
      <c r="K87" s="14">
        <v>2.88</v>
      </c>
      <c r="L87" s="14">
        <v>629</v>
      </c>
      <c r="M87" s="14">
        <f t="shared" si="3"/>
        <v>22.140800000000002</v>
      </c>
    </row>
    <row r="88" spans="1:13" x14ac:dyDescent="0.25">
      <c r="A88" s="90">
        <v>18</v>
      </c>
      <c r="B88" s="20">
        <v>28.1</v>
      </c>
      <c r="C88" s="20">
        <v>1.4</v>
      </c>
      <c r="D88" s="20">
        <v>26.7</v>
      </c>
      <c r="J88" s="87">
        <v>10</v>
      </c>
      <c r="K88" s="14">
        <v>3.18</v>
      </c>
      <c r="L88" s="14">
        <v>622</v>
      </c>
      <c r="M88" s="14">
        <f t="shared" si="3"/>
        <v>21.894400000000001</v>
      </c>
    </row>
    <row r="89" spans="1:13" x14ac:dyDescent="0.25">
      <c r="A89" s="90">
        <v>19</v>
      </c>
      <c r="B89" s="20">
        <v>19.100000000000001</v>
      </c>
      <c r="C89" s="20">
        <v>4.5</v>
      </c>
      <c r="D89" s="20">
        <v>14.6</v>
      </c>
      <c r="J89" s="87">
        <v>11</v>
      </c>
      <c r="K89" s="14">
        <v>2.42</v>
      </c>
      <c r="L89" s="14">
        <v>616</v>
      </c>
      <c r="M89" s="14">
        <f t="shared" si="3"/>
        <v>21.683200000000003</v>
      </c>
    </row>
    <row r="90" spans="1:13" x14ac:dyDescent="0.25">
      <c r="A90" s="90">
        <v>20</v>
      </c>
      <c r="B90" s="20">
        <v>23.4</v>
      </c>
      <c r="C90" s="20">
        <v>1.6</v>
      </c>
      <c r="D90" s="20">
        <v>21.8</v>
      </c>
      <c r="J90" s="87">
        <v>12</v>
      </c>
      <c r="K90" s="14">
        <v>2.33</v>
      </c>
      <c r="L90" s="14">
        <v>636</v>
      </c>
      <c r="M90" s="14">
        <f t="shared" si="3"/>
        <v>22.3872</v>
      </c>
    </row>
    <row r="91" spans="1:13" x14ac:dyDescent="0.25">
      <c r="A91" s="90">
        <v>21</v>
      </c>
      <c r="B91" s="20">
        <v>28</v>
      </c>
      <c r="C91" s="20">
        <v>5.2</v>
      </c>
      <c r="D91" s="20">
        <v>22.8</v>
      </c>
      <c r="J91" s="87">
        <v>13</v>
      </c>
      <c r="K91" s="14">
        <v>2.86</v>
      </c>
      <c r="L91" s="14">
        <v>619</v>
      </c>
      <c r="M91" s="14">
        <f t="shared" si="3"/>
        <v>21.788800000000002</v>
      </c>
    </row>
    <row r="92" spans="1:13" x14ac:dyDescent="0.25">
      <c r="A92" s="90">
        <v>22</v>
      </c>
      <c r="B92" s="20">
        <v>26.7</v>
      </c>
      <c r="C92" s="91">
        <v>0</v>
      </c>
      <c r="D92" s="20">
        <v>26.7</v>
      </c>
      <c r="J92" s="87">
        <v>14</v>
      </c>
      <c r="K92" s="14">
        <v>2.63</v>
      </c>
      <c r="L92" s="14">
        <v>621</v>
      </c>
      <c r="M92" s="14">
        <f t="shared" si="3"/>
        <v>21.859200000000001</v>
      </c>
    </row>
    <row r="93" spans="1:13" x14ac:dyDescent="0.25">
      <c r="A93" s="90">
        <v>23</v>
      </c>
      <c r="B93" s="20">
        <v>27.6</v>
      </c>
      <c r="C93" s="20">
        <v>3</v>
      </c>
      <c r="D93" s="20">
        <v>24.6</v>
      </c>
      <c r="J93" s="87">
        <v>15</v>
      </c>
      <c r="K93" s="14">
        <v>2.25</v>
      </c>
      <c r="L93" s="14">
        <v>613</v>
      </c>
      <c r="M93" s="14">
        <f t="shared" si="3"/>
        <v>21.5776</v>
      </c>
    </row>
    <row r="94" spans="1:13" x14ac:dyDescent="0.25">
      <c r="J94" s="87">
        <v>16</v>
      </c>
      <c r="K94" s="14">
        <v>2.2000000000000002</v>
      </c>
      <c r="L94" s="14">
        <v>619</v>
      </c>
      <c r="M94" s="14">
        <f t="shared" si="3"/>
        <v>21.788800000000002</v>
      </c>
    </row>
    <row r="95" spans="1:13" x14ac:dyDescent="0.25">
      <c r="J95" s="87">
        <v>17</v>
      </c>
      <c r="K95" s="14">
        <v>2.4700000000000002</v>
      </c>
      <c r="L95" s="14">
        <v>606</v>
      </c>
      <c r="M95" s="14">
        <f t="shared" si="3"/>
        <v>21.331200000000003</v>
      </c>
    </row>
    <row r="96" spans="1:13" x14ac:dyDescent="0.25">
      <c r="J96" s="87">
        <v>18</v>
      </c>
      <c r="K96" s="14">
        <v>3.51</v>
      </c>
      <c r="L96" s="14">
        <v>739</v>
      </c>
      <c r="M96" s="14">
        <f t="shared" si="3"/>
        <v>26.012800000000002</v>
      </c>
    </row>
    <row r="97" spans="10:13" x14ac:dyDescent="0.25">
      <c r="J97" s="87">
        <v>19</v>
      </c>
      <c r="K97" s="14">
        <v>2.12</v>
      </c>
      <c r="L97" s="14">
        <v>567</v>
      </c>
      <c r="M97" s="14">
        <f t="shared" si="3"/>
        <v>19.958400000000001</v>
      </c>
    </row>
    <row r="98" spans="10:13" x14ac:dyDescent="0.25">
      <c r="J98" s="87">
        <v>20</v>
      </c>
      <c r="K98" s="14">
        <v>1.72</v>
      </c>
      <c r="L98" s="14">
        <v>583</v>
      </c>
      <c r="M98" s="14">
        <f t="shared" si="3"/>
        <v>20.521600000000003</v>
      </c>
    </row>
    <row r="99" spans="10:13" x14ac:dyDescent="0.25">
      <c r="J99" s="87">
        <v>21</v>
      </c>
      <c r="K99" s="14">
        <v>2.67</v>
      </c>
      <c r="L99" s="14">
        <v>583</v>
      </c>
      <c r="M99" s="14">
        <f t="shared" si="3"/>
        <v>20.521600000000003</v>
      </c>
    </row>
    <row r="100" spans="10:13" x14ac:dyDescent="0.25">
      <c r="J100" s="87">
        <v>22</v>
      </c>
      <c r="K100" s="14" t="s">
        <v>188</v>
      </c>
      <c r="L100" s="14">
        <v>607</v>
      </c>
      <c r="M100" s="14">
        <f t="shared" si="3"/>
        <v>21.366400000000002</v>
      </c>
    </row>
    <row r="123" spans="7:8" x14ac:dyDescent="0.25">
      <c r="G123">
        <v>27.02587895264994</v>
      </c>
      <c r="H123">
        <v>23.69</v>
      </c>
    </row>
    <row r="124" spans="7:8" x14ac:dyDescent="0.25">
      <c r="G124">
        <v>20.894650354002877</v>
      </c>
      <c r="H124">
        <v>20.72</v>
      </c>
    </row>
    <row r="125" spans="7:8" x14ac:dyDescent="0.25">
      <c r="G125">
        <v>19.930215774072259</v>
      </c>
      <c r="H125">
        <v>17.39</v>
      </c>
    </row>
    <row r="126" spans="7:8" x14ac:dyDescent="0.25">
      <c r="G126">
        <v>19.732536364573527</v>
      </c>
      <c r="H126">
        <v>16.899999999999999</v>
      </c>
    </row>
  </sheetData>
  <mergeCells count="16">
    <mergeCell ref="A42:N42"/>
    <mergeCell ref="K2:K8"/>
    <mergeCell ref="L2:L8"/>
    <mergeCell ref="M2:M8"/>
    <mergeCell ref="K9:K15"/>
    <mergeCell ref="K16:K22"/>
    <mergeCell ref="K23:K29"/>
    <mergeCell ref="K30:K33"/>
    <mergeCell ref="L30:L33"/>
    <mergeCell ref="M30:M33"/>
    <mergeCell ref="L23:L29"/>
    <mergeCell ref="M23:M29"/>
    <mergeCell ref="M16:M22"/>
    <mergeCell ref="L16:L22"/>
    <mergeCell ref="M9:M15"/>
    <mergeCell ref="L9:L15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F5E-3593-41AF-907A-E9CEBCEEA1AD}">
  <dimension ref="A1:R101"/>
  <sheetViews>
    <sheetView zoomScaleNormal="100" workbookViewId="0">
      <selection activeCell="A2" sqref="A2:J2"/>
    </sheetView>
  </sheetViews>
  <sheetFormatPr baseColWidth="10" defaultRowHeight="15" x14ac:dyDescent="0.25"/>
  <cols>
    <col min="8" max="8" width="18.85546875" bestFit="1" customWidth="1"/>
    <col min="9" max="9" width="18" bestFit="1" customWidth="1"/>
    <col min="10" max="10" width="10.140625" bestFit="1" customWidth="1"/>
    <col min="11" max="11" width="24" bestFit="1" customWidth="1"/>
    <col min="12" max="12" width="23.5703125" bestFit="1" customWidth="1"/>
    <col min="13" max="13" width="10.140625" bestFit="1" customWidth="1"/>
  </cols>
  <sheetData>
    <row r="1" spans="1:18" x14ac:dyDescent="0.25">
      <c r="A1" s="181" t="s">
        <v>175</v>
      </c>
      <c r="B1" s="181" t="s">
        <v>12</v>
      </c>
      <c r="C1" s="182" t="s">
        <v>184</v>
      </c>
      <c r="D1" s="182" t="s">
        <v>185</v>
      </c>
      <c r="E1" s="182" t="s">
        <v>187</v>
      </c>
      <c r="F1" s="181" t="s">
        <v>31</v>
      </c>
      <c r="G1" s="181" t="s">
        <v>178</v>
      </c>
      <c r="H1" s="174" t="s">
        <v>215</v>
      </c>
      <c r="I1" s="174" t="s">
        <v>217</v>
      </c>
      <c r="J1" s="174" t="s">
        <v>180</v>
      </c>
      <c r="K1" s="174" t="s">
        <v>226</v>
      </c>
      <c r="L1" s="174" t="s">
        <v>228</v>
      </c>
      <c r="M1" s="174" t="s">
        <v>180</v>
      </c>
      <c r="N1" s="101"/>
      <c r="O1" s="101"/>
      <c r="P1" s="97"/>
      <c r="Q1" s="97"/>
      <c r="R1" s="79"/>
    </row>
    <row r="2" spans="1:18" x14ac:dyDescent="0.25">
      <c r="A2" s="174">
        <v>23</v>
      </c>
      <c r="B2" s="174" t="s">
        <v>181</v>
      </c>
      <c r="C2" s="174">
        <v>23.3</v>
      </c>
      <c r="D2" s="174">
        <v>3.7</v>
      </c>
      <c r="E2" s="174">
        <f>AVERAGE(C2:D2)</f>
        <v>13.5</v>
      </c>
      <c r="F2" s="183">
        <v>-34</v>
      </c>
      <c r="G2" s="174">
        <f>8.7+0.08*22</f>
        <v>10.459999999999999</v>
      </c>
      <c r="H2" s="174">
        <f t="shared" ref="H2:H30" si="0">0.0023*(E2+17)*G2*(C2-D2)^0.5</f>
        <v>3.2485338429937283</v>
      </c>
      <c r="I2" s="184">
        <v>3.88</v>
      </c>
      <c r="J2" s="185">
        <f>ABS(H2-I2)/I2</f>
        <v>0.16274900953769889</v>
      </c>
      <c r="K2" s="399">
        <f>SUM(H2:H8)</f>
        <v>24.865149395227782</v>
      </c>
      <c r="L2" s="399">
        <f>SUM(I2:I8)</f>
        <v>23.69</v>
      </c>
      <c r="M2" s="400">
        <f>ABS(K2-L2)/L2</f>
        <v>4.9605293171286639E-2</v>
      </c>
      <c r="N2" s="112"/>
      <c r="O2" s="111"/>
      <c r="P2" s="98"/>
      <c r="Q2" s="99"/>
      <c r="R2" s="80"/>
    </row>
    <row r="3" spans="1:18" x14ac:dyDescent="0.25">
      <c r="A3" s="174">
        <v>24</v>
      </c>
      <c r="B3" s="174" t="s">
        <v>181</v>
      </c>
      <c r="C3" s="174">
        <v>28.4</v>
      </c>
      <c r="D3" s="174">
        <v>5.3</v>
      </c>
      <c r="E3" s="174">
        <f t="shared" ref="E3:E31" si="1">AVERAGE(C3:D3)</f>
        <v>16.849999999999998</v>
      </c>
      <c r="F3" s="183">
        <v>-34</v>
      </c>
      <c r="G3" s="174">
        <f>8.7+0.08*21</f>
        <v>10.379999999999999</v>
      </c>
      <c r="H3" s="174">
        <f t="shared" si="0"/>
        <v>3.8840950790903688</v>
      </c>
      <c r="I3" s="184">
        <v>2.99</v>
      </c>
      <c r="J3" s="185">
        <f t="shared" ref="J3:J32" si="2">ABS(H3-I3)/I3</f>
        <v>0.29902845454527377</v>
      </c>
      <c r="K3" s="399"/>
      <c r="L3" s="399"/>
      <c r="M3" s="400"/>
      <c r="N3" s="112"/>
      <c r="O3" s="111"/>
      <c r="P3" s="98"/>
      <c r="Q3" s="99"/>
      <c r="R3" s="80"/>
    </row>
    <row r="4" spans="1:18" x14ac:dyDescent="0.25">
      <c r="A4" s="174">
        <v>25</v>
      </c>
      <c r="B4" s="174" t="s">
        <v>181</v>
      </c>
      <c r="C4" s="174">
        <v>21.4</v>
      </c>
      <c r="D4" s="174">
        <v>4.0999999999999996</v>
      </c>
      <c r="E4" s="174">
        <f t="shared" si="1"/>
        <v>12.75</v>
      </c>
      <c r="F4" s="183">
        <v>-34</v>
      </c>
      <c r="G4" s="174">
        <f>8.7+0.08*20</f>
        <v>10.299999999999999</v>
      </c>
      <c r="H4" s="174">
        <f t="shared" si="0"/>
        <v>2.9313999921467766</v>
      </c>
      <c r="I4" s="184">
        <v>3.68</v>
      </c>
      <c r="J4" s="185">
        <f t="shared" si="2"/>
        <v>0.20342391517750638</v>
      </c>
      <c r="K4" s="399"/>
      <c r="L4" s="399"/>
      <c r="M4" s="400"/>
      <c r="N4" s="112"/>
      <c r="O4" s="111"/>
      <c r="P4" s="98"/>
      <c r="Q4" s="99"/>
      <c r="R4" s="80"/>
    </row>
    <row r="5" spans="1:18" x14ac:dyDescent="0.25">
      <c r="A5" s="174">
        <v>26</v>
      </c>
      <c r="B5" s="174" t="s">
        <v>181</v>
      </c>
      <c r="C5" s="174">
        <v>25.4</v>
      </c>
      <c r="D5" s="174">
        <v>3.9</v>
      </c>
      <c r="E5" s="174">
        <f t="shared" si="1"/>
        <v>14.649999999999999</v>
      </c>
      <c r="F5" s="183">
        <v>-34</v>
      </c>
      <c r="G5" s="174">
        <f>8.7+0.08*19</f>
        <v>10.219999999999999</v>
      </c>
      <c r="H5" s="174">
        <f t="shared" si="0"/>
        <v>3.4496233283198054</v>
      </c>
      <c r="I5" s="184">
        <v>2.69</v>
      </c>
      <c r="J5" s="185">
        <f t="shared" si="2"/>
        <v>0.28238785439397973</v>
      </c>
      <c r="K5" s="399"/>
      <c r="L5" s="399"/>
      <c r="M5" s="400"/>
      <c r="N5" s="112"/>
      <c r="O5" s="111"/>
      <c r="P5" s="98"/>
      <c r="Q5" s="99"/>
      <c r="R5" s="80"/>
    </row>
    <row r="6" spans="1:18" x14ac:dyDescent="0.25">
      <c r="A6" s="174">
        <v>27</v>
      </c>
      <c r="B6" s="174" t="s">
        <v>181</v>
      </c>
      <c r="C6" s="174">
        <v>33</v>
      </c>
      <c r="D6" s="174">
        <v>4.7</v>
      </c>
      <c r="E6" s="174">
        <f t="shared" si="1"/>
        <v>18.850000000000001</v>
      </c>
      <c r="F6" s="183">
        <v>-34</v>
      </c>
      <c r="G6" s="174">
        <f>8.7+0.08*18</f>
        <v>10.139999999999999</v>
      </c>
      <c r="H6" s="174">
        <f t="shared" si="0"/>
        <v>4.4478298874378304</v>
      </c>
      <c r="I6" s="184">
        <v>3.2</v>
      </c>
      <c r="J6" s="185">
        <f t="shared" si="2"/>
        <v>0.38994683982432193</v>
      </c>
      <c r="K6" s="399"/>
      <c r="L6" s="399"/>
      <c r="M6" s="400"/>
      <c r="N6" s="112"/>
      <c r="O6" s="111"/>
      <c r="P6" s="98"/>
      <c r="Q6" s="99"/>
      <c r="R6" s="80"/>
    </row>
    <row r="7" spans="1:18" x14ac:dyDescent="0.25">
      <c r="A7" s="174">
        <v>28</v>
      </c>
      <c r="B7" s="174" t="s">
        <v>181</v>
      </c>
      <c r="C7" s="174">
        <v>23.4</v>
      </c>
      <c r="D7" s="174">
        <v>2.5</v>
      </c>
      <c r="E7" s="174">
        <f t="shared" si="1"/>
        <v>12.95</v>
      </c>
      <c r="F7" s="183">
        <v>-34</v>
      </c>
      <c r="G7" s="174">
        <f>8.7+0.08*17</f>
        <v>10.059999999999999</v>
      </c>
      <c r="H7" s="174">
        <f t="shared" si="0"/>
        <v>3.1680774228085475</v>
      </c>
      <c r="I7" s="184">
        <v>3.63</v>
      </c>
      <c r="J7" s="185">
        <f t="shared" si="2"/>
        <v>0.12725139867533122</v>
      </c>
      <c r="K7" s="399"/>
      <c r="L7" s="399"/>
      <c r="M7" s="400"/>
      <c r="N7" s="112"/>
      <c r="O7" s="111"/>
      <c r="P7" s="98"/>
      <c r="Q7" s="99"/>
      <c r="R7" s="80"/>
    </row>
    <row r="8" spans="1:18" x14ac:dyDescent="0.25">
      <c r="A8" s="174">
        <v>29</v>
      </c>
      <c r="B8" s="174" t="s">
        <v>181</v>
      </c>
      <c r="C8" s="174">
        <v>28.3</v>
      </c>
      <c r="D8" s="174">
        <v>4.7</v>
      </c>
      <c r="E8" s="174">
        <f t="shared" si="1"/>
        <v>16.5</v>
      </c>
      <c r="F8" s="183">
        <v>-34</v>
      </c>
      <c r="G8" s="174">
        <f>8.7+0.08*16</f>
        <v>9.9799999999999986</v>
      </c>
      <c r="H8" s="174">
        <f t="shared" si="0"/>
        <v>3.735589842430723</v>
      </c>
      <c r="I8" s="184">
        <v>3.62</v>
      </c>
      <c r="J8" s="185">
        <f t="shared" si="2"/>
        <v>3.193089569909472E-2</v>
      </c>
      <c r="K8" s="399"/>
      <c r="L8" s="399"/>
      <c r="M8" s="400"/>
      <c r="N8" s="112"/>
      <c r="O8" s="111"/>
      <c r="P8" s="98"/>
      <c r="Q8" s="99"/>
      <c r="R8" s="80"/>
    </row>
    <row r="9" spans="1:18" x14ac:dyDescent="0.25">
      <c r="A9" s="174">
        <v>30</v>
      </c>
      <c r="B9" s="174" t="s">
        <v>181</v>
      </c>
      <c r="C9" s="174">
        <v>28</v>
      </c>
      <c r="D9" s="174">
        <v>3.8</v>
      </c>
      <c r="E9" s="174">
        <f t="shared" si="1"/>
        <v>15.9</v>
      </c>
      <c r="F9" s="183">
        <v>-34</v>
      </c>
      <c r="G9" s="174">
        <f>8.7+0.08*15</f>
        <v>9.8999999999999986</v>
      </c>
      <c r="H9" s="174">
        <f t="shared" si="0"/>
        <v>3.6852470868143694</v>
      </c>
      <c r="I9" s="184">
        <v>3.02</v>
      </c>
      <c r="J9" s="185">
        <f t="shared" si="2"/>
        <v>0.22028049232263888</v>
      </c>
      <c r="K9" s="399">
        <f>SUM(H9:H15)</f>
        <v>22.249322924210816</v>
      </c>
      <c r="L9" s="399">
        <f t="shared" ref="L9" si="3">SUM(I9:I15)</f>
        <v>20.72</v>
      </c>
      <c r="M9" s="400">
        <f>ABS(K9-L9)/L9</f>
        <v>7.3809021438745986E-2</v>
      </c>
      <c r="N9" s="112"/>
      <c r="O9" s="111"/>
      <c r="P9" s="98"/>
      <c r="Q9" s="99"/>
      <c r="R9" s="80"/>
    </row>
    <row r="10" spans="1:18" x14ac:dyDescent="0.25">
      <c r="A10" s="174">
        <v>1</v>
      </c>
      <c r="B10" s="174" t="s">
        <v>182</v>
      </c>
      <c r="C10" s="174">
        <v>26.2</v>
      </c>
      <c r="D10" s="174">
        <v>4.4000000000000004</v>
      </c>
      <c r="E10" s="174">
        <f t="shared" si="1"/>
        <v>15.3</v>
      </c>
      <c r="F10" s="183">
        <v>-34</v>
      </c>
      <c r="G10" s="174">
        <f>8.7+0.08*14</f>
        <v>9.82</v>
      </c>
      <c r="H10" s="174">
        <f t="shared" si="0"/>
        <v>3.406199594740142</v>
      </c>
      <c r="I10" s="184">
        <v>3.7</v>
      </c>
      <c r="J10" s="185">
        <f t="shared" si="2"/>
        <v>7.9405514935096802E-2</v>
      </c>
      <c r="K10" s="399"/>
      <c r="L10" s="399"/>
      <c r="M10" s="400"/>
      <c r="N10" s="112"/>
      <c r="O10" s="111"/>
      <c r="P10" s="98"/>
      <c r="Q10" s="99"/>
      <c r="R10" s="80"/>
    </row>
    <row r="11" spans="1:18" x14ac:dyDescent="0.25">
      <c r="A11" s="174">
        <v>2</v>
      </c>
      <c r="B11" s="174" t="s">
        <v>182</v>
      </c>
      <c r="C11" s="174">
        <v>29</v>
      </c>
      <c r="D11" s="174">
        <v>3.7</v>
      </c>
      <c r="E11" s="174">
        <f t="shared" si="1"/>
        <v>16.350000000000001</v>
      </c>
      <c r="F11" s="183">
        <v>-34</v>
      </c>
      <c r="G11" s="174">
        <f>8.7+0.08*13</f>
        <v>9.7399999999999984</v>
      </c>
      <c r="H11" s="174">
        <f t="shared" si="0"/>
        <v>3.757879861834025</v>
      </c>
      <c r="I11" s="184">
        <v>2.83</v>
      </c>
      <c r="J11" s="185">
        <f t="shared" si="2"/>
        <v>0.3278727426975353</v>
      </c>
      <c r="K11" s="399"/>
      <c r="L11" s="399"/>
      <c r="M11" s="400"/>
      <c r="N11" s="112"/>
      <c r="O11" s="111"/>
      <c r="P11" s="98"/>
      <c r="Q11" s="99"/>
      <c r="R11" s="80"/>
    </row>
    <row r="12" spans="1:18" x14ac:dyDescent="0.25">
      <c r="A12" s="174">
        <v>3</v>
      </c>
      <c r="B12" s="174" t="s">
        <v>182</v>
      </c>
      <c r="C12" s="174">
        <v>22.5</v>
      </c>
      <c r="D12" s="174">
        <v>3.1</v>
      </c>
      <c r="E12" s="174">
        <f t="shared" si="1"/>
        <v>12.8</v>
      </c>
      <c r="F12" s="183">
        <v>-34</v>
      </c>
      <c r="G12" s="174">
        <f>8.7+0.08*12</f>
        <v>9.66</v>
      </c>
      <c r="H12" s="174">
        <f t="shared" si="0"/>
        <v>2.9162321361859083</v>
      </c>
      <c r="I12" s="184">
        <v>3.12</v>
      </c>
      <c r="J12" s="185">
        <f t="shared" si="2"/>
        <v>6.531021276092687E-2</v>
      </c>
      <c r="K12" s="399"/>
      <c r="L12" s="399"/>
      <c r="M12" s="400"/>
      <c r="N12" s="112"/>
      <c r="O12" s="111"/>
      <c r="P12" s="98"/>
      <c r="Q12" s="99"/>
      <c r="R12" s="80"/>
    </row>
    <row r="13" spans="1:18" x14ac:dyDescent="0.25">
      <c r="A13" s="174">
        <v>4</v>
      </c>
      <c r="B13" s="174" t="s">
        <v>182</v>
      </c>
      <c r="C13" s="174">
        <v>25</v>
      </c>
      <c r="D13" s="174">
        <v>2.9</v>
      </c>
      <c r="E13" s="174">
        <f t="shared" si="1"/>
        <v>13.95</v>
      </c>
      <c r="F13" s="183">
        <v>-34</v>
      </c>
      <c r="G13" s="174">
        <f>8.7+0.08*11</f>
        <v>9.58</v>
      </c>
      <c r="H13" s="174">
        <f t="shared" si="0"/>
        <v>3.2059012090836339</v>
      </c>
      <c r="I13" s="184">
        <v>2.86</v>
      </c>
      <c r="J13" s="185">
        <f t="shared" si="2"/>
        <v>0.12094447870057133</v>
      </c>
      <c r="K13" s="399"/>
      <c r="L13" s="399"/>
      <c r="M13" s="400"/>
      <c r="N13" s="112"/>
      <c r="O13" s="111"/>
      <c r="P13" s="98"/>
      <c r="Q13" s="99"/>
      <c r="R13" s="80"/>
    </row>
    <row r="14" spans="1:18" x14ac:dyDescent="0.25">
      <c r="A14" s="174">
        <v>5</v>
      </c>
      <c r="B14" s="174" t="s">
        <v>182</v>
      </c>
      <c r="C14" s="174">
        <v>24.4</v>
      </c>
      <c r="D14" s="174">
        <v>4.0999999999999996</v>
      </c>
      <c r="E14" s="174">
        <f t="shared" si="1"/>
        <v>14.25</v>
      </c>
      <c r="F14" s="183">
        <v>-34</v>
      </c>
      <c r="G14" s="174">
        <f>8.7+0.08*10</f>
        <v>9.5</v>
      </c>
      <c r="H14" s="174">
        <f t="shared" si="0"/>
        <v>3.076447314057543</v>
      </c>
      <c r="I14" s="184">
        <v>2.63</v>
      </c>
      <c r="J14" s="185">
        <f t="shared" si="2"/>
        <v>0.16975183044013048</v>
      </c>
      <c r="K14" s="399"/>
      <c r="L14" s="399"/>
      <c r="M14" s="400"/>
      <c r="N14" s="112"/>
      <c r="O14" s="111"/>
      <c r="P14" s="98"/>
      <c r="Q14" s="99"/>
      <c r="R14" s="80"/>
    </row>
    <row r="15" spans="1:18" x14ac:dyDescent="0.25">
      <c r="A15" s="174">
        <v>6</v>
      </c>
      <c r="B15" s="174" t="s">
        <v>182</v>
      </c>
      <c r="C15" s="174">
        <v>17.8</v>
      </c>
      <c r="D15" s="174">
        <v>5</v>
      </c>
      <c r="E15" s="174">
        <f t="shared" si="1"/>
        <v>11.4</v>
      </c>
      <c r="F15" s="183">
        <v>-34</v>
      </c>
      <c r="G15" s="174">
        <f>8.7+0.08*9</f>
        <v>9.42</v>
      </c>
      <c r="H15" s="174">
        <f t="shared" si="0"/>
        <v>2.2014157214951942</v>
      </c>
      <c r="I15" s="184">
        <v>2.56</v>
      </c>
      <c r="J15" s="185">
        <f t="shared" si="2"/>
        <v>0.1400719837909398</v>
      </c>
      <c r="K15" s="399"/>
      <c r="L15" s="399"/>
      <c r="M15" s="400"/>
      <c r="N15" s="112"/>
      <c r="O15" s="111"/>
      <c r="P15" s="98"/>
      <c r="Q15" s="99"/>
      <c r="R15" s="80"/>
    </row>
    <row r="16" spans="1:18" x14ac:dyDescent="0.25">
      <c r="A16" s="174">
        <v>7</v>
      </c>
      <c r="B16" s="174" t="s">
        <v>182</v>
      </c>
      <c r="C16" s="174">
        <v>15.9</v>
      </c>
      <c r="D16" s="174">
        <v>4.9000000000000004</v>
      </c>
      <c r="E16" s="174">
        <f t="shared" si="1"/>
        <v>10.4</v>
      </c>
      <c r="F16" s="183">
        <v>-34</v>
      </c>
      <c r="G16" s="174">
        <f>8.7+0.08*8</f>
        <v>9.34</v>
      </c>
      <c r="H16" s="174">
        <f t="shared" si="0"/>
        <v>1.9521879046517623</v>
      </c>
      <c r="I16" s="184">
        <v>1.92</v>
      </c>
      <c r="J16" s="185">
        <f t="shared" si="2"/>
        <v>1.6764533672792896E-2</v>
      </c>
      <c r="K16" s="399">
        <f>SUM(H16:H22)</f>
        <v>20.830525998022129</v>
      </c>
      <c r="L16" s="399">
        <f t="shared" ref="L16" si="4">SUM(I16:I22)</f>
        <v>17.39</v>
      </c>
      <c r="M16" s="400">
        <f>ABS(K16-L16)/L16</f>
        <v>0.19784508326751743</v>
      </c>
      <c r="N16" s="112"/>
      <c r="O16" s="111"/>
      <c r="P16" s="98"/>
      <c r="Q16" s="99"/>
      <c r="R16" s="80"/>
    </row>
    <row r="17" spans="1:18" x14ac:dyDescent="0.25">
      <c r="A17" s="174">
        <v>8</v>
      </c>
      <c r="B17" s="174" t="s">
        <v>182</v>
      </c>
      <c r="C17" s="174">
        <v>28.1</v>
      </c>
      <c r="D17" s="174">
        <v>3.1</v>
      </c>
      <c r="E17" s="174">
        <f t="shared" si="1"/>
        <v>15.600000000000001</v>
      </c>
      <c r="F17" s="183">
        <v>-34</v>
      </c>
      <c r="G17" s="174">
        <f>8.7+0.08*7</f>
        <v>9.26</v>
      </c>
      <c r="H17" s="174">
        <f t="shared" si="0"/>
        <v>3.4715739999999999</v>
      </c>
      <c r="I17" s="184">
        <v>1.8</v>
      </c>
      <c r="J17" s="185">
        <f t="shared" si="2"/>
        <v>0.9286522222222221</v>
      </c>
      <c r="K17" s="399"/>
      <c r="L17" s="399"/>
      <c r="M17" s="400"/>
      <c r="N17" s="112"/>
      <c r="O17" s="111"/>
      <c r="P17" s="98"/>
      <c r="Q17" s="99"/>
      <c r="R17" s="80"/>
    </row>
    <row r="18" spans="1:18" x14ac:dyDescent="0.25">
      <c r="A18" s="174">
        <v>9</v>
      </c>
      <c r="B18" s="174" t="s">
        <v>182</v>
      </c>
      <c r="C18" s="174">
        <v>31.2</v>
      </c>
      <c r="D18" s="174">
        <v>4.5999999999999996</v>
      </c>
      <c r="E18" s="174">
        <f t="shared" si="1"/>
        <v>17.899999999999999</v>
      </c>
      <c r="F18" s="183">
        <v>-34</v>
      </c>
      <c r="G18" s="174">
        <f>8.7+0.08*6</f>
        <v>9.18</v>
      </c>
      <c r="H18" s="174">
        <f t="shared" si="0"/>
        <v>3.8004652205052127</v>
      </c>
      <c r="I18" s="184">
        <v>2.88</v>
      </c>
      <c r="J18" s="185">
        <f t="shared" si="2"/>
        <v>0.31960597934208779</v>
      </c>
      <c r="K18" s="399"/>
      <c r="L18" s="399"/>
      <c r="M18" s="400"/>
      <c r="N18" s="112"/>
      <c r="O18" s="111"/>
      <c r="P18" s="98"/>
      <c r="Q18" s="99"/>
      <c r="R18" s="80"/>
    </row>
    <row r="19" spans="1:18" x14ac:dyDescent="0.25">
      <c r="A19" s="174">
        <v>10</v>
      </c>
      <c r="B19" s="174" t="s">
        <v>182</v>
      </c>
      <c r="C19" s="174">
        <v>24.2</v>
      </c>
      <c r="D19" s="174">
        <v>5</v>
      </c>
      <c r="E19" s="174">
        <f t="shared" si="1"/>
        <v>14.6</v>
      </c>
      <c r="F19" s="183">
        <v>-34</v>
      </c>
      <c r="G19" s="174">
        <f>8.7+0.08*5</f>
        <v>9.1</v>
      </c>
      <c r="H19" s="174">
        <f t="shared" si="0"/>
        <v>2.8980570149058145</v>
      </c>
      <c r="I19" s="184">
        <v>3.18</v>
      </c>
      <c r="J19" s="185">
        <f t="shared" si="2"/>
        <v>8.8661316067353987E-2</v>
      </c>
      <c r="K19" s="399"/>
      <c r="L19" s="399"/>
      <c r="M19" s="400"/>
      <c r="N19" s="112"/>
      <c r="O19" s="111"/>
      <c r="P19" s="98"/>
      <c r="Q19" s="99"/>
      <c r="R19" s="80"/>
    </row>
    <row r="20" spans="1:18" x14ac:dyDescent="0.25">
      <c r="A20" s="174">
        <v>11</v>
      </c>
      <c r="B20" s="174" t="s">
        <v>182</v>
      </c>
      <c r="C20" s="174">
        <v>23.4</v>
      </c>
      <c r="D20" s="174">
        <v>2</v>
      </c>
      <c r="E20" s="174">
        <f t="shared" si="1"/>
        <v>12.7</v>
      </c>
      <c r="F20" s="183">
        <v>-34</v>
      </c>
      <c r="G20" s="174">
        <f>8.7+0.08*4</f>
        <v>9.02</v>
      </c>
      <c r="H20" s="174">
        <f t="shared" si="0"/>
        <v>2.850346839226169</v>
      </c>
      <c r="I20" s="184">
        <v>2.42</v>
      </c>
      <c r="J20" s="185">
        <f t="shared" si="2"/>
        <v>0.1778292724075079</v>
      </c>
      <c r="K20" s="399"/>
      <c r="L20" s="399"/>
      <c r="M20" s="400"/>
      <c r="N20" s="112"/>
      <c r="O20" s="111"/>
      <c r="P20" s="98"/>
      <c r="Q20" s="99"/>
      <c r="R20" s="80"/>
    </row>
    <row r="21" spans="1:18" x14ac:dyDescent="0.25">
      <c r="A21" s="174">
        <v>12</v>
      </c>
      <c r="B21" s="174" t="s">
        <v>182</v>
      </c>
      <c r="C21" s="174">
        <v>22.7</v>
      </c>
      <c r="D21" s="174">
        <v>4.5</v>
      </c>
      <c r="E21" s="174">
        <f t="shared" si="1"/>
        <v>13.6</v>
      </c>
      <c r="F21" s="183">
        <v>-34</v>
      </c>
      <c r="G21" s="174">
        <f>8.7+0.08*3</f>
        <v>8.94</v>
      </c>
      <c r="H21" s="174">
        <f t="shared" si="0"/>
        <v>2.6842469931209174</v>
      </c>
      <c r="I21" s="184">
        <v>2.33</v>
      </c>
      <c r="J21" s="185">
        <f t="shared" si="2"/>
        <v>0.15203733610339801</v>
      </c>
      <c r="K21" s="399"/>
      <c r="L21" s="399"/>
      <c r="M21" s="400"/>
      <c r="N21" s="112"/>
      <c r="O21" s="111"/>
      <c r="P21" s="98"/>
      <c r="Q21" s="99"/>
      <c r="R21" s="80"/>
    </row>
    <row r="22" spans="1:18" x14ac:dyDescent="0.25">
      <c r="A22" s="174">
        <v>13</v>
      </c>
      <c r="B22" s="174" t="s">
        <v>182</v>
      </c>
      <c r="C22" s="174">
        <v>26.7</v>
      </c>
      <c r="D22" s="174">
        <v>2.1</v>
      </c>
      <c r="E22" s="174">
        <f t="shared" si="1"/>
        <v>14.4</v>
      </c>
      <c r="F22" s="183">
        <v>-34</v>
      </c>
      <c r="G22" s="174">
        <f>8.7+0.08*2</f>
        <v>8.86</v>
      </c>
      <c r="H22" s="174">
        <f t="shared" si="0"/>
        <v>3.1736480256122515</v>
      </c>
      <c r="I22" s="184">
        <v>2.86</v>
      </c>
      <c r="J22" s="185">
        <f t="shared" si="2"/>
        <v>0.10966714182246559</v>
      </c>
      <c r="K22" s="399"/>
      <c r="L22" s="399"/>
      <c r="M22" s="400"/>
      <c r="N22" s="112"/>
      <c r="O22" s="111"/>
      <c r="P22" s="98"/>
      <c r="Q22" s="99"/>
      <c r="R22" s="80"/>
    </row>
    <row r="23" spans="1:18" x14ac:dyDescent="0.25">
      <c r="A23" s="174">
        <v>14</v>
      </c>
      <c r="B23" s="174" t="s">
        <v>182</v>
      </c>
      <c r="C23" s="174">
        <v>22.3</v>
      </c>
      <c r="D23" s="174">
        <v>1.2</v>
      </c>
      <c r="E23" s="174">
        <f t="shared" si="1"/>
        <v>11.75</v>
      </c>
      <c r="F23" s="183">
        <v>-34</v>
      </c>
      <c r="G23" s="174">
        <f>8.7+0.08*1</f>
        <v>8.7799999999999994</v>
      </c>
      <c r="H23" s="174">
        <f t="shared" si="0"/>
        <v>2.6668674370845422</v>
      </c>
      <c r="I23" s="184">
        <v>2.63</v>
      </c>
      <c r="J23" s="185">
        <f t="shared" si="2"/>
        <v>1.4018036914274647E-2</v>
      </c>
      <c r="K23" s="399">
        <f>SUM(H23:H29)</f>
        <v>19.756835840082267</v>
      </c>
      <c r="L23" s="399">
        <f t="shared" ref="L23" si="5">SUM(I23:I29)</f>
        <v>16.899999999999999</v>
      </c>
      <c r="M23" s="400">
        <f>ABS(K23-L23)/L23</f>
        <v>0.16904354083327036</v>
      </c>
      <c r="N23" s="112"/>
      <c r="O23" s="111"/>
      <c r="P23" s="98"/>
      <c r="Q23" s="99"/>
      <c r="R23" s="80"/>
    </row>
    <row r="24" spans="1:18" x14ac:dyDescent="0.25">
      <c r="A24" s="174">
        <v>15</v>
      </c>
      <c r="B24" s="174" t="s">
        <v>182</v>
      </c>
      <c r="C24" s="174">
        <v>22.8</v>
      </c>
      <c r="D24" s="174">
        <v>2.2999999999999998</v>
      </c>
      <c r="E24" s="174">
        <f t="shared" si="1"/>
        <v>12.55</v>
      </c>
      <c r="F24" s="183">
        <v>-34</v>
      </c>
      <c r="G24" s="174">
        <v>8.6999999999999993</v>
      </c>
      <c r="H24" s="174">
        <f t="shared" si="0"/>
        <v>2.6772042414737665</v>
      </c>
      <c r="I24" s="184">
        <v>2.25</v>
      </c>
      <c r="J24" s="185">
        <f t="shared" si="2"/>
        <v>0.18986855176611842</v>
      </c>
      <c r="K24" s="399"/>
      <c r="L24" s="399"/>
      <c r="M24" s="400"/>
      <c r="N24" s="112"/>
      <c r="O24" s="111"/>
      <c r="P24" s="98"/>
      <c r="Q24" s="99"/>
      <c r="R24" s="80"/>
    </row>
    <row r="25" spans="1:18" x14ac:dyDescent="0.25">
      <c r="A25" s="174">
        <v>16</v>
      </c>
      <c r="B25" s="174" t="s">
        <v>182</v>
      </c>
      <c r="C25" s="174">
        <v>25.1</v>
      </c>
      <c r="D25" s="174">
        <v>0.1</v>
      </c>
      <c r="E25" s="174">
        <f t="shared" si="1"/>
        <v>12.600000000000001</v>
      </c>
      <c r="F25" s="183">
        <v>-34</v>
      </c>
      <c r="G25" s="174">
        <v>8.6999999999999993</v>
      </c>
      <c r="H25" s="174">
        <f t="shared" si="0"/>
        <v>2.9614799999999999</v>
      </c>
      <c r="I25" s="184">
        <v>2.2000000000000002</v>
      </c>
      <c r="J25" s="185">
        <f t="shared" si="2"/>
        <v>0.34612727272727256</v>
      </c>
      <c r="K25" s="399"/>
      <c r="L25" s="399"/>
      <c r="M25" s="400"/>
      <c r="N25" s="112"/>
      <c r="O25" s="111"/>
      <c r="P25" s="98"/>
      <c r="Q25" s="99"/>
      <c r="R25" s="80"/>
    </row>
    <row r="26" spans="1:18" x14ac:dyDescent="0.25">
      <c r="A26" s="174">
        <v>17</v>
      </c>
      <c r="B26" s="174" t="s">
        <v>182</v>
      </c>
      <c r="C26" s="174">
        <v>28.1</v>
      </c>
      <c r="D26" s="174">
        <v>1.4</v>
      </c>
      <c r="E26" s="174">
        <f t="shared" si="1"/>
        <v>14.75</v>
      </c>
      <c r="F26" s="183">
        <v>-34</v>
      </c>
      <c r="G26" s="174">
        <v>8.6999999999999993</v>
      </c>
      <c r="H26" s="174">
        <f t="shared" si="0"/>
        <v>3.2828153007787191</v>
      </c>
      <c r="I26" s="184">
        <v>2.4700000000000002</v>
      </c>
      <c r="J26" s="185">
        <f t="shared" si="2"/>
        <v>0.32907502055818577</v>
      </c>
      <c r="K26" s="399"/>
      <c r="L26" s="399"/>
      <c r="M26" s="400"/>
      <c r="N26" s="112"/>
      <c r="O26" s="111"/>
      <c r="P26" s="98"/>
      <c r="Q26" s="99"/>
      <c r="R26" s="80"/>
    </row>
    <row r="27" spans="1:18" x14ac:dyDescent="0.25">
      <c r="A27" s="174">
        <v>18</v>
      </c>
      <c r="B27" s="174" t="s">
        <v>182</v>
      </c>
      <c r="C27" s="174">
        <v>19.100000000000001</v>
      </c>
      <c r="D27" s="174">
        <v>4.5</v>
      </c>
      <c r="E27" s="174">
        <f t="shared" si="1"/>
        <v>11.8</v>
      </c>
      <c r="F27" s="183">
        <v>-34</v>
      </c>
      <c r="G27" s="174">
        <v>8.6999999999999993</v>
      </c>
      <c r="H27" s="174">
        <f t="shared" si="0"/>
        <v>2.2019933561621845</v>
      </c>
      <c r="I27" s="184">
        <v>3.51</v>
      </c>
      <c r="J27" s="185">
        <f t="shared" si="2"/>
        <v>0.37265146548085909</v>
      </c>
      <c r="K27" s="399"/>
      <c r="L27" s="399"/>
      <c r="M27" s="400"/>
      <c r="N27" s="112"/>
      <c r="O27" s="111"/>
      <c r="P27" s="98"/>
      <c r="Q27" s="99"/>
      <c r="R27" s="80"/>
    </row>
    <row r="28" spans="1:18" x14ac:dyDescent="0.25">
      <c r="A28" s="174">
        <v>19</v>
      </c>
      <c r="B28" s="174" t="s">
        <v>182</v>
      </c>
      <c r="C28" s="174">
        <v>23.4</v>
      </c>
      <c r="D28" s="174">
        <v>1.6</v>
      </c>
      <c r="E28" s="174">
        <f t="shared" si="1"/>
        <v>12.5</v>
      </c>
      <c r="F28" s="183">
        <v>-34</v>
      </c>
      <c r="G28" s="174">
        <v>8.6999999999999993</v>
      </c>
      <c r="H28" s="174">
        <f t="shared" si="0"/>
        <v>2.7561151059317162</v>
      </c>
      <c r="I28" s="184">
        <v>2.12</v>
      </c>
      <c r="J28" s="185">
        <f t="shared" si="2"/>
        <v>0.30005429525080946</v>
      </c>
      <c r="K28" s="399"/>
      <c r="L28" s="399"/>
      <c r="M28" s="400"/>
      <c r="N28" s="112"/>
      <c r="O28" s="111"/>
      <c r="P28" s="98"/>
      <c r="Q28" s="99"/>
      <c r="R28" s="80"/>
    </row>
    <row r="29" spans="1:18" x14ac:dyDescent="0.25">
      <c r="A29" s="174">
        <v>20</v>
      </c>
      <c r="B29" s="174" t="s">
        <v>182</v>
      </c>
      <c r="C29" s="174">
        <v>28</v>
      </c>
      <c r="D29" s="174">
        <v>5.2</v>
      </c>
      <c r="E29" s="174">
        <f t="shared" si="1"/>
        <v>16.600000000000001</v>
      </c>
      <c r="F29" s="183">
        <v>-34</v>
      </c>
      <c r="G29" s="174">
        <v>8.6999999999999993</v>
      </c>
      <c r="H29" s="174">
        <f t="shared" si="0"/>
        <v>3.2103603986513409</v>
      </c>
      <c r="I29" s="184">
        <v>1.72</v>
      </c>
      <c r="J29" s="185">
        <f t="shared" si="2"/>
        <v>0.86648860386705873</v>
      </c>
      <c r="K29" s="399"/>
      <c r="L29" s="399"/>
      <c r="M29" s="400"/>
      <c r="N29" s="112"/>
      <c r="O29" s="111"/>
      <c r="P29" s="98"/>
      <c r="Q29" s="99"/>
      <c r="R29" s="80"/>
    </row>
    <row r="30" spans="1:18" x14ac:dyDescent="0.25">
      <c r="A30" s="174">
        <v>21</v>
      </c>
      <c r="B30" s="174" t="s">
        <v>182</v>
      </c>
      <c r="C30" s="174">
        <v>26.7</v>
      </c>
      <c r="D30" s="174">
        <v>0</v>
      </c>
      <c r="E30" s="174">
        <f t="shared" si="1"/>
        <v>13.35</v>
      </c>
      <c r="F30" s="183">
        <v>-34</v>
      </c>
      <c r="G30" s="174">
        <v>8.6999999999999993</v>
      </c>
      <c r="H30" s="174">
        <f t="shared" si="0"/>
        <v>3.1380612402719414</v>
      </c>
      <c r="I30" s="184">
        <v>2.67</v>
      </c>
      <c r="J30" s="185">
        <f t="shared" si="2"/>
        <v>0.17530383530784327</v>
      </c>
      <c r="K30" s="402">
        <f>SUM(K2:K29)</f>
        <v>87.701834157543004</v>
      </c>
      <c r="L30" s="402">
        <f>SUM(L2:L29)</f>
        <v>78.699999999999989</v>
      </c>
      <c r="M30" s="400">
        <f>ABS(K30-L30)/L30</f>
        <v>0.11438162843129628</v>
      </c>
      <c r="N30" s="112"/>
      <c r="O30" s="111"/>
      <c r="P30" s="98"/>
      <c r="Q30" s="99"/>
      <c r="R30" s="80"/>
    </row>
    <row r="31" spans="1:18" x14ac:dyDescent="0.25">
      <c r="A31" s="174">
        <v>22</v>
      </c>
      <c r="B31" s="174" t="s">
        <v>182</v>
      </c>
      <c r="C31" s="174">
        <v>27.6</v>
      </c>
      <c r="D31" s="174">
        <v>3</v>
      </c>
      <c r="E31" s="174">
        <f t="shared" si="1"/>
        <v>15.3</v>
      </c>
      <c r="F31" s="183">
        <v>-34</v>
      </c>
      <c r="G31" s="174">
        <v>8.6999999999999993</v>
      </c>
      <c r="H31" s="174"/>
      <c r="I31" s="184"/>
      <c r="J31" s="185"/>
      <c r="K31" s="402"/>
      <c r="L31" s="402"/>
      <c r="M31" s="400"/>
      <c r="N31" s="102"/>
      <c r="O31" s="103"/>
      <c r="P31" s="98"/>
      <c r="Q31" s="99"/>
      <c r="R31" s="80"/>
    </row>
    <row r="32" spans="1:18" x14ac:dyDescent="0.25">
      <c r="A32" s="186"/>
      <c r="B32" s="186"/>
      <c r="C32" s="186"/>
      <c r="D32" s="186"/>
      <c r="E32" s="186"/>
      <c r="F32" s="186"/>
      <c r="G32" s="186"/>
      <c r="H32" s="187">
        <f>SUM(H2:H30)</f>
        <v>90.839895397814942</v>
      </c>
      <c r="I32" s="188">
        <f>SUM(I2:I31)</f>
        <v>81.370000000000019</v>
      </c>
      <c r="J32" s="185">
        <f t="shared" si="2"/>
        <v>0.11638067344002608</v>
      </c>
      <c r="K32" s="402"/>
      <c r="L32" s="402"/>
      <c r="M32" s="400"/>
      <c r="N32" s="101"/>
      <c r="O32" s="101"/>
      <c r="P32" s="97"/>
      <c r="Q32" s="97"/>
      <c r="R32" s="79"/>
    </row>
    <row r="33" spans="1:17" x14ac:dyDescent="0.25">
      <c r="A33" s="186"/>
      <c r="B33" s="186"/>
      <c r="C33" s="186"/>
      <c r="D33" s="186"/>
      <c r="E33" s="186"/>
      <c r="F33" s="186"/>
      <c r="G33" s="186"/>
      <c r="H33" s="174">
        <f>AVERAGE(H2:H32)</f>
        <v>6.055993026520996</v>
      </c>
      <c r="I33" s="174">
        <f>AVERAGE(I2:I31)</f>
        <v>2.805862068965518</v>
      </c>
      <c r="J33" s="181"/>
      <c r="K33" s="402"/>
      <c r="L33" s="402"/>
      <c r="M33" s="400"/>
      <c r="N33" s="101"/>
      <c r="O33" s="102"/>
      <c r="P33" s="97"/>
      <c r="Q33" s="100"/>
    </row>
    <row r="34" spans="1:17" x14ac:dyDescent="0.25">
      <c r="N34" s="101"/>
      <c r="O34" s="101"/>
      <c r="P34" s="97"/>
      <c r="Q34" s="97"/>
    </row>
    <row r="35" spans="1:17" x14ac:dyDescent="0.25">
      <c r="N35" s="104"/>
      <c r="O35" s="104"/>
    </row>
    <row r="36" spans="1:17" x14ac:dyDescent="0.25">
      <c r="N36" s="104"/>
      <c r="O36" s="104"/>
    </row>
    <row r="37" spans="1:17" x14ac:dyDescent="0.25">
      <c r="N37" s="104"/>
      <c r="O37" s="104"/>
    </row>
    <row r="72" spans="8:10" x14ac:dyDescent="0.25">
      <c r="H72" t="s">
        <v>215</v>
      </c>
      <c r="I72" t="s">
        <v>217</v>
      </c>
      <c r="J72" t="s">
        <v>260</v>
      </c>
    </row>
    <row r="73" spans="8:10" x14ac:dyDescent="0.25">
      <c r="H73">
        <v>3.4472969079570159</v>
      </c>
      <c r="I73">
        <v>3.88</v>
      </c>
      <c r="J73">
        <v>3.2485338429937283</v>
      </c>
    </row>
    <row r="74" spans="8:10" x14ac:dyDescent="0.25">
      <c r="H74">
        <v>4.1535120787960595</v>
      </c>
      <c r="I74">
        <v>2.99</v>
      </c>
      <c r="J74">
        <v>3.8840950790903688</v>
      </c>
    </row>
    <row r="75" spans="8:10" x14ac:dyDescent="0.25">
      <c r="H75">
        <v>3.1590815449348759</v>
      </c>
      <c r="I75">
        <v>3.68</v>
      </c>
      <c r="J75">
        <v>2.9313999921467766</v>
      </c>
    </row>
    <row r="76" spans="8:10" x14ac:dyDescent="0.25">
      <c r="H76">
        <v>3.7466554740068339</v>
      </c>
      <c r="I76">
        <v>2.69</v>
      </c>
      <c r="J76">
        <v>3.4496233283198054</v>
      </c>
    </row>
    <row r="77" spans="8:10" x14ac:dyDescent="0.25">
      <c r="H77">
        <v>4.8689262081420033</v>
      </c>
      <c r="I77">
        <v>3.2</v>
      </c>
      <c r="J77">
        <v>4.4478298874378304</v>
      </c>
    </row>
    <row r="78" spans="8:10" x14ac:dyDescent="0.25">
      <c r="H78">
        <v>3.4955923850074431</v>
      </c>
      <c r="I78">
        <v>3.63</v>
      </c>
      <c r="J78">
        <v>3.1680774228085475</v>
      </c>
    </row>
    <row r="79" spans="8:10" x14ac:dyDescent="0.25">
      <c r="H79">
        <v>4.1548143538057136</v>
      </c>
      <c r="I79">
        <v>3.62</v>
      </c>
      <c r="J79">
        <v>3.735589842430723</v>
      </c>
    </row>
    <row r="80" spans="8:10" x14ac:dyDescent="0.25">
      <c r="H80">
        <v>4.1319437033979289</v>
      </c>
      <c r="I80">
        <v>3.02</v>
      </c>
      <c r="J80">
        <v>3.6852470868143694</v>
      </c>
    </row>
    <row r="81" spans="8:10" x14ac:dyDescent="0.25">
      <c r="H81">
        <v>3.0177124719184554</v>
      </c>
      <c r="I81">
        <v>3.7</v>
      </c>
      <c r="J81">
        <v>3.406199594740142</v>
      </c>
    </row>
    <row r="82" spans="8:10" x14ac:dyDescent="0.25">
      <c r="H82">
        <v>3.3566278026648892</v>
      </c>
      <c r="I82">
        <v>2.83</v>
      </c>
      <c r="J82">
        <v>3.757879861834025</v>
      </c>
    </row>
    <row r="83" spans="8:10" x14ac:dyDescent="0.25">
      <c r="H83">
        <v>2.6264202468755071</v>
      </c>
      <c r="I83">
        <v>3.12</v>
      </c>
      <c r="J83">
        <v>2.9162321361859083</v>
      </c>
    </row>
    <row r="84" spans="8:10" x14ac:dyDescent="0.25">
      <c r="H84">
        <v>2.9114134153473503</v>
      </c>
      <c r="I84">
        <v>2.86</v>
      </c>
      <c r="J84">
        <v>3.2059012090836339</v>
      </c>
    </row>
    <row r="85" spans="8:10" x14ac:dyDescent="0.25">
      <c r="H85">
        <v>2.8173780665579606</v>
      </c>
      <c r="I85">
        <v>2.63</v>
      </c>
      <c r="J85">
        <v>3.076447314057543</v>
      </c>
    </row>
    <row r="86" spans="8:10" x14ac:dyDescent="0.25">
      <c r="H86">
        <v>2.0331546472407842</v>
      </c>
      <c r="I86">
        <v>2.56</v>
      </c>
      <c r="J86">
        <v>2.2014157214951942</v>
      </c>
    </row>
    <row r="87" spans="8:10" x14ac:dyDescent="0.25">
      <c r="H87">
        <v>1.8184191403073162</v>
      </c>
      <c r="I87">
        <v>1.92</v>
      </c>
      <c r="J87">
        <v>1.9521879046517623</v>
      </c>
    </row>
    <row r="88" spans="8:10" x14ac:dyDescent="0.25">
      <c r="H88">
        <v>3.2616299999999998</v>
      </c>
      <c r="I88">
        <v>1.8</v>
      </c>
      <c r="J88">
        <v>3.4715739999999999</v>
      </c>
    </row>
    <row r="89" spans="8:10" x14ac:dyDescent="0.25">
      <c r="H89">
        <v>3.6017480847925216</v>
      </c>
      <c r="I89">
        <v>2.88</v>
      </c>
      <c r="J89">
        <v>3.8004652205052127</v>
      </c>
    </row>
    <row r="90" spans="8:10" x14ac:dyDescent="0.25">
      <c r="H90">
        <v>2.7706698933714926</v>
      </c>
      <c r="I90">
        <v>3.18</v>
      </c>
      <c r="J90">
        <v>2.8980570149058145</v>
      </c>
    </row>
    <row r="91" spans="8:10" x14ac:dyDescent="0.25">
      <c r="H91">
        <v>2.7492258870585005</v>
      </c>
      <c r="I91">
        <v>2.42</v>
      </c>
      <c r="J91">
        <v>2.850346839226169</v>
      </c>
    </row>
    <row r="92" spans="8:10" x14ac:dyDescent="0.25">
      <c r="H92">
        <v>2.6121866711579398</v>
      </c>
      <c r="I92">
        <v>2.33</v>
      </c>
      <c r="J92">
        <v>2.6842469931209174</v>
      </c>
    </row>
    <row r="93" spans="8:10" x14ac:dyDescent="0.25">
      <c r="H93">
        <v>3.1163360973844907</v>
      </c>
      <c r="I93">
        <v>2.86</v>
      </c>
      <c r="J93">
        <v>3.1736480256122515</v>
      </c>
    </row>
    <row r="94" spans="8:10" x14ac:dyDescent="0.25">
      <c r="H94">
        <v>2.6425679615757991</v>
      </c>
      <c r="I94">
        <v>2.63</v>
      </c>
      <c r="J94">
        <v>2.6668674370845422</v>
      </c>
    </row>
    <row r="95" spans="8:10" x14ac:dyDescent="0.25">
      <c r="H95">
        <v>2.6772042414737665</v>
      </c>
      <c r="I95">
        <v>2.25</v>
      </c>
      <c r="J95">
        <v>2.6772042414737665</v>
      </c>
    </row>
    <row r="96" spans="8:10" x14ac:dyDescent="0.25">
      <c r="H96">
        <v>2.9614799999999999</v>
      </c>
      <c r="I96">
        <v>2.2000000000000002</v>
      </c>
      <c r="J96">
        <v>2.9614799999999999</v>
      </c>
    </row>
    <row r="97" spans="8:10" x14ac:dyDescent="0.25">
      <c r="H97">
        <v>3.2828153007787191</v>
      </c>
      <c r="I97">
        <v>2.4700000000000002</v>
      </c>
      <c r="J97">
        <v>3.2828153007787191</v>
      </c>
    </row>
    <row r="98" spans="8:10" x14ac:dyDescent="0.25">
      <c r="H98">
        <v>2.2019933561621845</v>
      </c>
      <c r="I98">
        <v>3.51</v>
      </c>
      <c r="J98">
        <v>2.2019933561621845</v>
      </c>
    </row>
    <row r="99" spans="8:10" x14ac:dyDescent="0.25">
      <c r="H99">
        <v>2.7561151059317162</v>
      </c>
      <c r="I99">
        <v>2.12</v>
      </c>
      <c r="J99">
        <v>2.7561151059317162</v>
      </c>
    </row>
    <row r="100" spans="8:10" x14ac:dyDescent="0.25">
      <c r="H100">
        <v>3.2103603986513409</v>
      </c>
      <c r="I100">
        <v>1.72</v>
      </c>
      <c r="J100">
        <v>3.2103603986513409</v>
      </c>
    </row>
    <row r="101" spans="8:10" x14ac:dyDescent="0.25">
      <c r="H101">
        <v>3.1380612402719414</v>
      </c>
      <c r="I101">
        <v>2.67</v>
      </c>
      <c r="J101">
        <v>3.1380612402719414</v>
      </c>
    </row>
  </sheetData>
  <mergeCells count="15">
    <mergeCell ref="K2:K8"/>
    <mergeCell ref="L2:L8"/>
    <mergeCell ref="M2:M8"/>
    <mergeCell ref="K9:K15"/>
    <mergeCell ref="L9:L15"/>
    <mergeCell ref="M9:M15"/>
    <mergeCell ref="K30:K33"/>
    <mergeCell ref="L30:L33"/>
    <mergeCell ref="M30:M33"/>
    <mergeCell ref="K16:K22"/>
    <mergeCell ref="L16:L22"/>
    <mergeCell ref="M16:M22"/>
    <mergeCell ref="K23:K29"/>
    <mergeCell ref="L23:L29"/>
    <mergeCell ref="M23:M29"/>
  </mergeCells>
  <conditionalFormatting sqref="J34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4" priority="3" operator="greaterThan">
      <formula>0.5</formula>
    </cfRule>
  </conditionalFormatting>
  <conditionalFormatting sqref="J34:J1048576 M34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17D6-3A65-4791-AF98-7B5D11E5D30E}">
  <dimension ref="A1:AT75"/>
  <sheetViews>
    <sheetView workbookViewId="0">
      <selection activeCell="C1" sqref="C1"/>
    </sheetView>
  </sheetViews>
  <sheetFormatPr baseColWidth="10" defaultRowHeight="15" x14ac:dyDescent="0.25"/>
  <cols>
    <col min="7" max="7" width="10.5703125" bestFit="1" customWidth="1"/>
    <col min="8" max="8" width="18.85546875" bestFit="1" customWidth="1"/>
    <col min="9" max="9" width="15.5703125" bestFit="1" customWidth="1"/>
    <col min="10" max="10" width="10.140625" bestFit="1" customWidth="1"/>
    <col min="11" max="11" width="24.42578125" bestFit="1" customWidth="1"/>
    <col min="12" max="12" width="21.28515625" bestFit="1" customWidth="1"/>
    <col min="13" max="13" width="10.140625" bestFit="1" customWidth="1"/>
  </cols>
  <sheetData>
    <row r="1" spans="1:13" x14ac:dyDescent="0.25">
      <c r="A1" s="181" t="s">
        <v>175</v>
      </c>
      <c r="B1" s="181" t="s">
        <v>12</v>
      </c>
      <c r="C1" s="182" t="s">
        <v>184</v>
      </c>
      <c r="D1" s="182" t="s">
        <v>185</v>
      </c>
      <c r="E1" s="182" t="s">
        <v>187</v>
      </c>
      <c r="F1" s="181" t="s">
        <v>31</v>
      </c>
      <c r="G1" s="181" t="s">
        <v>178</v>
      </c>
      <c r="H1" s="174" t="s">
        <v>215</v>
      </c>
      <c r="I1" s="174" t="s">
        <v>221</v>
      </c>
      <c r="J1" s="174" t="s">
        <v>180</v>
      </c>
      <c r="K1" s="174" t="s">
        <v>224</v>
      </c>
      <c r="L1" s="174" t="s">
        <v>225</v>
      </c>
      <c r="M1" s="174" t="s">
        <v>180</v>
      </c>
    </row>
    <row r="2" spans="1:13" x14ac:dyDescent="0.25">
      <c r="A2" s="174">
        <v>25</v>
      </c>
      <c r="B2" s="174" t="s">
        <v>181</v>
      </c>
      <c r="C2" s="174">
        <v>9.3000000000000007</v>
      </c>
      <c r="D2" s="174">
        <v>6.1</v>
      </c>
      <c r="E2" s="174">
        <f>AVERAGE(C2:D2)</f>
        <v>7.7</v>
      </c>
      <c r="F2" s="183">
        <v>-34</v>
      </c>
      <c r="G2" s="174">
        <v>9.1</v>
      </c>
      <c r="H2" s="174">
        <f>0.0023*(E2+17)*G2*(C2-D2)^0.5</f>
        <v>0.92478583871683517</v>
      </c>
      <c r="I2" s="184">
        <v>0.9</v>
      </c>
      <c r="J2" s="185">
        <f>ABS(H2-I2)/I2</f>
        <v>2.75398207964835E-2</v>
      </c>
      <c r="K2" s="399">
        <f>SUM(H2:H8)</f>
        <v>9.2045390967115459</v>
      </c>
      <c r="L2" s="399">
        <f>SUM(I2:I8)</f>
        <v>7.2299999999999986</v>
      </c>
      <c r="M2" s="400">
        <f>ABS(K2-L2)/L2</f>
        <v>0.27310360950367185</v>
      </c>
    </row>
    <row r="3" spans="1:13" x14ac:dyDescent="0.25">
      <c r="A3" s="174">
        <v>26</v>
      </c>
      <c r="B3" s="174" t="s">
        <v>181</v>
      </c>
      <c r="C3" s="174">
        <v>10</v>
      </c>
      <c r="D3" s="174">
        <v>5.0999999999999996</v>
      </c>
      <c r="E3" s="174">
        <f t="shared" ref="E3:E31" si="0">AVERAGE(C3:D3)</f>
        <v>7.55</v>
      </c>
      <c r="F3" s="183">
        <v>-34</v>
      </c>
      <c r="G3" s="174">
        <v>9.1</v>
      </c>
      <c r="H3" s="174">
        <f t="shared" ref="H3:H30" si="1">0.0023*(E3+17)*G3*(C3-D3)^0.5</f>
        <v>1.1374145114785661</v>
      </c>
      <c r="I3" s="184">
        <v>1.06</v>
      </c>
      <c r="J3" s="185">
        <f t="shared" ref="J3:J30" si="2">ABS(H3-I3)/I3</f>
        <v>7.3032557998647205E-2</v>
      </c>
      <c r="K3" s="399"/>
      <c r="L3" s="399"/>
      <c r="M3" s="400"/>
    </row>
    <row r="4" spans="1:13" x14ac:dyDescent="0.25">
      <c r="A4" s="174">
        <v>27</v>
      </c>
      <c r="B4" s="174" t="s">
        <v>181</v>
      </c>
      <c r="C4" s="174">
        <v>10.1</v>
      </c>
      <c r="D4" s="174">
        <v>3.7</v>
      </c>
      <c r="E4" s="174">
        <f t="shared" si="0"/>
        <v>6.9</v>
      </c>
      <c r="F4" s="183">
        <v>-34</v>
      </c>
      <c r="G4" s="174">
        <v>9.1</v>
      </c>
      <c r="H4" s="174">
        <f t="shared" si="1"/>
        <v>1.2654853336904384</v>
      </c>
      <c r="I4" s="184">
        <v>1.5</v>
      </c>
      <c r="J4" s="185">
        <f t="shared" si="2"/>
        <v>0.15634311087304109</v>
      </c>
      <c r="K4" s="399"/>
      <c r="L4" s="399"/>
      <c r="M4" s="400"/>
    </row>
    <row r="5" spans="1:13" x14ac:dyDescent="0.25">
      <c r="A5" s="174">
        <v>28</v>
      </c>
      <c r="B5" s="174" t="s">
        <v>181</v>
      </c>
      <c r="C5" s="174">
        <v>10.6</v>
      </c>
      <c r="D5" s="174">
        <v>3.3</v>
      </c>
      <c r="E5" s="174">
        <f t="shared" si="0"/>
        <v>6.9499999999999993</v>
      </c>
      <c r="F5" s="183">
        <v>-34</v>
      </c>
      <c r="G5" s="174">
        <v>9.1</v>
      </c>
      <c r="H5" s="174">
        <f t="shared" si="1"/>
        <v>1.3543664161357607</v>
      </c>
      <c r="I5" s="184">
        <v>1.05</v>
      </c>
      <c r="J5" s="185">
        <f t="shared" si="2"/>
        <v>0.28987277727215299</v>
      </c>
      <c r="K5" s="399"/>
      <c r="L5" s="399"/>
      <c r="M5" s="400"/>
    </row>
    <row r="6" spans="1:13" x14ac:dyDescent="0.25">
      <c r="A6" s="174">
        <v>29</v>
      </c>
      <c r="B6" s="174" t="s">
        <v>181</v>
      </c>
      <c r="C6" s="174">
        <v>9.9</v>
      </c>
      <c r="D6" s="174">
        <v>0.3</v>
      </c>
      <c r="E6" s="174">
        <f t="shared" si="0"/>
        <v>5.1000000000000005</v>
      </c>
      <c r="F6" s="183">
        <v>-34</v>
      </c>
      <c r="G6" s="174">
        <v>9.1</v>
      </c>
      <c r="H6" s="174">
        <f t="shared" si="1"/>
        <v>1.4331680525906234</v>
      </c>
      <c r="I6" s="184">
        <v>0.97</v>
      </c>
      <c r="J6" s="185">
        <f t="shared" si="2"/>
        <v>0.47749283772229223</v>
      </c>
      <c r="K6" s="399"/>
      <c r="L6" s="399"/>
      <c r="M6" s="400"/>
    </row>
    <row r="7" spans="1:13" x14ac:dyDescent="0.25">
      <c r="A7" s="174">
        <v>30</v>
      </c>
      <c r="B7" s="174" t="s">
        <v>181</v>
      </c>
      <c r="C7" s="174">
        <v>11.2</v>
      </c>
      <c r="D7" s="174">
        <v>2.9</v>
      </c>
      <c r="E7" s="174">
        <f t="shared" si="0"/>
        <v>7.05</v>
      </c>
      <c r="F7" s="183">
        <v>-34</v>
      </c>
      <c r="G7" s="174">
        <v>9.1</v>
      </c>
      <c r="H7" s="174">
        <f t="shared" si="1"/>
        <v>1.4501848215226483</v>
      </c>
      <c r="I7" s="184">
        <v>0.81</v>
      </c>
      <c r="J7" s="185">
        <f t="shared" si="2"/>
        <v>0.79035163150944221</v>
      </c>
      <c r="K7" s="399"/>
      <c r="L7" s="399"/>
      <c r="M7" s="400"/>
    </row>
    <row r="8" spans="1:13" x14ac:dyDescent="0.25">
      <c r="A8" s="174">
        <v>1</v>
      </c>
      <c r="B8" s="174" t="s">
        <v>181</v>
      </c>
      <c r="C8" s="174">
        <v>13.8</v>
      </c>
      <c r="D8" s="174">
        <v>5</v>
      </c>
      <c r="E8" s="174">
        <f t="shared" si="0"/>
        <v>9.4</v>
      </c>
      <c r="F8" s="183">
        <v>-34</v>
      </c>
      <c r="G8" s="174">
        <v>9.1</v>
      </c>
      <c r="H8" s="174">
        <f t="shared" si="1"/>
        <v>1.6391341225766729</v>
      </c>
      <c r="I8" s="184">
        <v>0.94</v>
      </c>
      <c r="J8" s="185">
        <f t="shared" si="2"/>
        <v>0.74375970486880105</v>
      </c>
      <c r="K8" s="399"/>
      <c r="L8" s="399"/>
      <c r="M8" s="400"/>
    </row>
    <row r="9" spans="1:13" x14ac:dyDescent="0.25">
      <c r="A9" s="174">
        <v>2</v>
      </c>
      <c r="B9" s="174" t="s">
        <v>181</v>
      </c>
      <c r="C9" s="174">
        <v>13.5</v>
      </c>
      <c r="D9" s="174">
        <v>7.5</v>
      </c>
      <c r="E9" s="174">
        <f t="shared" si="0"/>
        <v>10.5</v>
      </c>
      <c r="F9" s="183">
        <v>-34</v>
      </c>
      <c r="G9" s="174">
        <v>9.1</v>
      </c>
      <c r="H9" s="174">
        <f t="shared" si="1"/>
        <v>1.4098650587024275</v>
      </c>
      <c r="I9" s="184">
        <v>0.85</v>
      </c>
      <c r="J9" s="185">
        <f t="shared" si="2"/>
        <v>0.65866477494403242</v>
      </c>
      <c r="K9" s="399">
        <f>SUM(H9:H15)</f>
        <v>8.8097916561346477</v>
      </c>
      <c r="L9" s="399">
        <f>SUM(I9:I15)</f>
        <v>7.59</v>
      </c>
      <c r="M9" s="400">
        <f>ABS(K9-L9)/L9</f>
        <v>0.16071036312709458</v>
      </c>
    </row>
    <row r="10" spans="1:13" x14ac:dyDescent="0.25">
      <c r="A10" s="174">
        <v>3</v>
      </c>
      <c r="B10" s="174" t="s">
        <v>182</v>
      </c>
      <c r="C10" s="174">
        <v>14.8</v>
      </c>
      <c r="D10" s="174">
        <v>7.7</v>
      </c>
      <c r="E10" s="174">
        <f t="shared" si="0"/>
        <v>11.25</v>
      </c>
      <c r="F10" s="183">
        <v>-34</v>
      </c>
      <c r="G10" s="174">
        <v>6.4</v>
      </c>
      <c r="H10" s="174">
        <f t="shared" si="1"/>
        <v>1.1080399946572326</v>
      </c>
      <c r="I10" s="184">
        <v>0.81</v>
      </c>
      <c r="J10" s="185">
        <f t="shared" si="2"/>
        <v>0.36795061068794138</v>
      </c>
      <c r="K10" s="399"/>
      <c r="L10" s="399"/>
      <c r="M10" s="400"/>
    </row>
    <row r="11" spans="1:13" x14ac:dyDescent="0.25">
      <c r="A11" s="174">
        <v>4</v>
      </c>
      <c r="B11" s="174" t="s">
        <v>182</v>
      </c>
      <c r="C11" s="174">
        <v>17.2</v>
      </c>
      <c r="D11" s="174">
        <v>9.6999999999999993</v>
      </c>
      <c r="E11" s="174">
        <f t="shared" si="0"/>
        <v>13.45</v>
      </c>
      <c r="F11" s="183">
        <v>-34</v>
      </c>
      <c r="G11" s="174">
        <v>6.4</v>
      </c>
      <c r="H11" s="174">
        <f t="shared" si="1"/>
        <v>1.227511978075978</v>
      </c>
      <c r="I11" s="184">
        <v>0.97</v>
      </c>
      <c r="J11" s="185">
        <f t="shared" si="2"/>
        <v>0.2654762660577093</v>
      </c>
      <c r="K11" s="399"/>
      <c r="L11" s="399"/>
      <c r="M11" s="400"/>
    </row>
    <row r="12" spans="1:13" x14ac:dyDescent="0.25">
      <c r="A12" s="174">
        <v>5</v>
      </c>
      <c r="B12" s="174" t="s">
        <v>182</v>
      </c>
      <c r="C12" s="174">
        <v>15.9</v>
      </c>
      <c r="D12" s="174">
        <v>9.1999999999999993</v>
      </c>
      <c r="E12" s="174">
        <f t="shared" si="0"/>
        <v>12.55</v>
      </c>
      <c r="F12" s="183">
        <v>-34</v>
      </c>
      <c r="G12" s="174">
        <v>6.4</v>
      </c>
      <c r="H12" s="174">
        <f t="shared" si="1"/>
        <v>1.1259074597226899</v>
      </c>
      <c r="I12" s="184">
        <v>1.04</v>
      </c>
      <c r="J12" s="185">
        <f t="shared" si="2"/>
        <v>8.2603326656432566E-2</v>
      </c>
      <c r="K12" s="399"/>
      <c r="L12" s="399"/>
      <c r="M12" s="400"/>
    </row>
    <row r="13" spans="1:13" x14ac:dyDescent="0.25">
      <c r="A13" s="174">
        <v>6</v>
      </c>
      <c r="B13" s="174" t="s">
        <v>182</v>
      </c>
      <c r="C13" s="174">
        <v>17.600000000000001</v>
      </c>
      <c r="D13" s="174">
        <v>7.2</v>
      </c>
      <c r="E13" s="174">
        <f t="shared" si="0"/>
        <v>12.4</v>
      </c>
      <c r="F13" s="183">
        <v>-34</v>
      </c>
      <c r="G13" s="174">
        <v>6.4</v>
      </c>
      <c r="H13" s="174">
        <f t="shared" si="1"/>
        <v>1.3956348644862668</v>
      </c>
      <c r="I13" s="184">
        <v>1.2</v>
      </c>
      <c r="J13" s="185">
        <f t="shared" si="2"/>
        <v>0.16302905373855575</v>
      </c>
      <c r="K13" s="399"/>
      <c r="L13" s="399"/>
      <c r="M13" s="400"/>
    </row>
    <row r="14" spans="1:13" x14ac:dyDescent="0.25">
      <c r="A14" s="174">
        <v>7</v>
      </c>
      <c r="B14" s="174" t="s">
        <v>182</v>
      </c>
      <c r="C14" s="174">
        <v>17.399999999999999</v>
      </c>
      <c r="D14" s="174">
        <v>8.1</v>
      </c>
      <c r="E14" s="174">
        <f t="shared" si="0"/>
        <v>12.75</v>
      </c>
      <c r="F14" s="183">
        <v>-34</v>
      </c>
      <c r="G14" s="174">
        <v>6.4</v>
      </c>
      <c r="H14" s="174">
        <f t="shared" si="1"/>
        <v>1.3354765125302654</v>
      </c>
      <c r="I14" s="184">
        <v>1.47</v>
      </c>
      <c r="J14" s="185">
        <f t="shared" si="2"/>
        <v>9.1512576510023494E-2</v>
      </c>
      <c r="K14" s="399"/>
      <c r="L14" s="399"/>
      <c r="M14" s="400"/>
    </row>
    <row r="15" spans="1:13" x14ac:dyDescent="0.25">
      <c r="A15" s="174">
        <v>8</v>
      </c>
      <c r="B15" s="174" t="s">
        <v>182</v>
      </c>
      <c r="C15" s="174">
        <v>16.7</v>
      </c>
      <c r="D15" s="174">
        <v>9.1999999999999993</v>
      </c>
      <c r="E15" s="174">
        <f t="shared" si="0"/>
        <v>12.95</v>
      </c>
      <c r="F15" s="183">
        <v>-34</v>
      </c>
      <c r="G15" s="174">
        <v>6.4</v>
      </c>
      <c r="H15" s="174">
        <f t="shared" si="1"/>
        <v>1.2073557879597878</v>
      </c>
      <c r="I15" s="184">
        <v>1.25</v>
      </c>
      <c r="J15" s="185">
        <f t="shared" si="2"/>
        <v>3.4115369632169747E-2</v>
      </c>
      <c r="K15" s="399"/>
      <c r="L15" s="399"/>
      <c r="M15" s="400"/>
    </row>
    <row r="16" spans="1:13" x14ac:dyDescent="0.25">
      <c r="A16" s="174">
        <v>9</v>
      </c>
      <c r="B16" s="174" t="s">
        <v>182</v>
      </c>
      <c r="C16" s="174">
        <v>9.6</v>
      </c>
      <c r="D16" s="174">
        <v>0</v>
      </c>
      <c r="E16" s="174">
        <f t="shared" si="0"/>
        <v>4.8</v>
      </c>
      <c r="F16" s="183">
        <v>-34</v>
      </c>
      <c r="G16" s="174">
        <v>6.4</v>
      </c>
      <c r="H16" s="174">
        <f t="shared" si="1"/>
        <v>0.99425989109166046</v>
      </c>
      <c r="I16" s="184">
        <v>1.17</v>
      </c>
      <c r="J16" s="185">
        <f t="shared" si="2"/>
        <v>0.15020522128917904</v>
      </c>
      <c r="K16" s="399">
        <f>SUM(H16:H22)</f>
        <v>7.6603415793210843</v>
      </c>
      <c r="L16" s="399">
        <f>SUM(I16:I22)</f>
        <v>7.85</v>
      </c>
      <c r="M16" s="400">
        <f>ABS(K16-L16)/L16</f>
        <v>2.4160308366740813E-2</v>
      </c>
    </row>
    <row r="17" spans="1:13" x14ac:dyDescent="0.25">
      <c r="A17" s="174">
        <v>10</v>
      </c>
      <c r="B17" s="174" t="s">
        <v>182</v>
      </c>
      <c r="C17" s="174">
        <v>11.5</v>
      </c>
      <c r="D17" s="174">
        <v>5.2</v>
      </c>
      <c r="E17" s="174">
        <f t="shared" si="0"/>
        <v>8.35</v>
      </c>
      <c r="F17" s="183">
        <v>-34</v>
      </c>
      <c r="G17" s="174">
        <v>6.4</v>
      </c>
      <c r="H17" s="174">
        <f t="shared" si="1"/>
        <v>0.93660408666373018</v>
      </c>
      <c r="I17" s="184">
        <v>0.8</v>
      </c>
      <c r="J17" s="185">
        <f t="shared" si="2"/>
        <v>0.17075510832966267</v>
      </c>
      <c r="K17" s="399"/>
      <c r="L17" s="399"/>
      <c r="M17" s="400"/>
    </row>
    <row r="18" spans="1:13" x14ac:dyDescent="0.25">
      <c r="A18" s="174">
        <v>11</v>
      </c>
      <c r="B18" s="174" t="s">
        <v>182</v>
      </c>
      <c r="C18" s="174">
        <v>11.4</v>
      </c>
      <c r="D18" s="174">
        <v>4.5</v>
      </c>
      <c r="E18" s="174">
        <f t="shared" si="0"/>
        <v>7.95</v>
      </c>
      <c r="F18" s="183">
        <v>-34</v>
      </c>
      <c r="G18" s="174">
        <v>6.4</v>
      </c>
      <c r="H18" s="174">
        <f t="shared" si="1"/>
        <v>0.96472360565210602</v>
      </c>
      <c r="I18" s="184">
        <v>0.97</v>
      </c>
      <c r="J18" s="185">
        <f t="shared" si="2"/>
        <v>5.4395818019525293E-3</v>
      </c>
      <c r="K18" s="399"/>
      <c r="L18" s="399"/>
      <c r="M18" s="400"/>
    </row>
    <row r="19" spans="1:13" x14ac:dyDescent="0.25">
      <c r="A19" s="174">
        <v>12</v>
      </c>
      <c r="B19" s="174" t="s">
        <v>182</v>
      </c>
      <c r="C19" s="174">
        <v>11.9</v>
      </c>
      <c r="D19" s="174">
        <v>4.5999999999999996</v>
      </c>
      <c r="E19" s="174">
        <f t="shared" si="0"/>
        <v>8.25</v>
      </c>
      <c r="F19" s="183">
        <v>-34</v>
      </c>
      <c r="G19" s="174">
        <v>6.4</v>
      </c>
      <c r="H19" s="174">
        <f t="shared" si="1"/>
        <v>1.0042240604167976</v>
      </c>
      <c r="I19" s="184">
        <v>0.85</v>
      </c>
      <c r="J19" s="185">
        <f t="shared" si="2"/>
        <v>0.1814400710785854</v>
      </c>
      <c r="K19" s="399"/>
      <c r="L19" s="399"/>
      <c r="M19" s="400"/>
    </row>
    <row r="20" spans="1:13" x14ac:dyDescent="0.25">
      <c r="A20" s="174">
        <v>13</v>
      </c>
      <c r="B20" s="174" t="s">
        <v>182</v>
      </c>
      <c r="C20" s="174">
        <v>10.7</v>
      </c>
      <c r="D20" s="174">
        <v>2.4</v>
      </c>
      <c r="E20" s="174">
        <f t="shared" si="0"/>
        <v>6.55</v>
      </c>
      <c r="F20" s="183">
        <v>-34</v>
      </c>
      <c r="G20" s="174">
        <v>6.4</v>
      </c>
      <c r="H20" s="174">
        <f t="shared" si="1"/>
        <v>0.99870624979960954</v>
      </c>
      <c r="I20" s="184">
        <v>0.81</v>
      </c>
      <c r="J20" s="185">
        <f t="shared" si="2"/>
        <v>0.23297067876494995</v>
      </c>
      <c r="K20" s="399"/>
      <c r="L20" s="399"/>
      <c r="M20" s="400"/>
    </row>
    <row r="21" spans="1:13" x14ac:dyDescent="0.25">
      <c r="A21" s="174">
        <v>14</v>
      </c>
      <c r="B21" s="174" t="s">
        <v>182</v>
      </c>
      <c r="C21" s="174">
        <v>11.9</v>
      </c>
      <c r="D21" s="174">
        <v>0.1</v>
      </c>
      <c r="E21" s="174">
        <f t="shared" si="0"/>
        <v>6</v>
      </c>
      <c r="F21" s="183">
        <v>-34</v>
      </c>
      <c r="G21" s="174">
        <v>6.4</v>
      </c>
      <c r="H21" s="174">
        <f t="shared" si="1"/>
        <v>1.162991792094854</v>
      </c>
      <c r="I21" s="184">
        <v>0.66</v>
      </c>
      <c r="J21" s="185">
        <f t="shared" si="2"/>
        <v>0.76210877590129389</v>
      </c>
      <c r="K21" s="399"/>
      <c r="L21" s="399"/>
      <c r="M21" s="400"/>
    </row>
    <row r="22" spans="1:13" x14ac:dyDescent="0.25">
      <c r="A22" s="174">
        <v>15</v>
      </c>
      <c r="B22" s="174" t="s">
        <v>182</v>
      </c>
      <c r="C22" s="174">
        <v>18.3</v>
      </c>
      <c r="D22" s="174">
        <v>2.7</v>
      </c>
      <c r="E22" s="174">
        <f t="shared" si="0"/>
        <v>10.5</v>
      </c>
      <c r="F22" s="183">
        <v>-34</v>
      </c>
      <c r="G22" s="174">
        <v>6.4</v>
      </c>
      <c r="H22" s="174">
        <f t="shared" si="1"/>
        <v>1.5988318936023265</v>
      </c>
      <c r="I22" s="184">
        <v>2.59</v>
      </c>
      <c r="J22" s="185">
        <f t="shared" si="2"/>
        <v>0.38269038857053028</v>
      </c>
      <c r="K22" s="399"/>
      <c r="L22" s="399"/>
      <c r="M22" s="400"/>
    </row>
    <row r="23" spans="1:13" x14ac:dyDescent="0.25">
      <c r="A23" s="174">
        <v>16</v>
      </c>
      <c r="B23" s="174" t="s">
        <v>182</v>
      </c>
      <c r="C23" s="174">
        <v>19.600000000000001</v>
      </c>
      <c r="D23" s="174">
        <v>13.6</v>
      </c>
      <c r="E23" s="174">
        <f t="shared" si="0"/>
        <v>16.600000000000001</v>
      </c>
      <c r="F23" s="183">
        <v>-34</v>
      </c>
      <c r="G23" s="174">
        <v>6.4</v>
      </c>
      <c r="H23" s="174">
        <f t="shared" si="1"/>
        <v>1.2114980308626178</v>
      </c>
      <c r="I23" s="184">
        <v>4.53</v>
      </c>
      <c r="J23" s="185">
        <f t="shared" si="2"/>
        <v>0.73256114108992987</v>
      </c>
      <c r="K23" s="399">
        <f>SUM(H23:H29)</f>
        <v>6.9715440383470471</v>
      </c>
      <c r="L23" s="399">
        <f>SUM(I23:I29)</f>
        <v>10.85</v>
      </c>
      <c r="M23" s="400">
        <f>ABS(K23-L23)/L23</f>
        <v>0.35746137895418917</v>
      </c>
    </row>
    <row r="24" spans="1:13" x14ac:dyDescent="0.25">
      <c r="A24" s="174">
        <v>17</v>
      </c>
      <c r="B24" s="174" t="s">
        <v>182</v>
      </c>
      <c r="C24" s="174">
        <v>15.6</v>
      </c>
      <c r="D24" s="174">
        <v>7.6</v>
      </c>
      <c r="E24" s="174">
        <f t="shared" si="0"/>
        <v>11.6</v>
      </c>
      <c r="F24" s="183">
        <v>-34</v>
      </c>
      <c r="G24" s="174">
        <v>6.4</v>
      </c>
      <c r="H24" s="174">
        <f t="shared" si="1"/>
        <v>1.1907451921011483</v>
      </c>
      <c r="I24" s="184">
        <v>1.24</v>
      </c>
      <c r="J24" s="185">
        <f t="shared" si="2"/>
        <v>3.9721619273267519E-2</v>
      </c>
      <c r="K24" s="399"/>
      <c r="L24" s="399"/>
      <c r="M24" s="400"/>
    </row>
    <row r="25" spans="1:13" x14ac:dyDescent="0.25">
      <c r="A25" s="174">
        <v>18</v>
      </c>
      <c r="B25" s="174" t="s">
        <v>182</v>
      </c>
      <c r="C25" s="174">
        <v>14.5</v>
      </c>
      <c r="D25" s="174">
        <v>4.7</v>
      </c>
      <c r="E25" s="174">
        <f t="shared" si="0"/>
        <v>9.6</v>
      </c>
      <c r="F25" s="183">
        <v>-34</v>
      </c>
      <c r="G25" s="174">
        <v>6.4</v>
      </c>
      <c r="H25" s="174">
        <f t="shared" si="1"/>
        <v>1.2257516442163969</v>
      </c>
      <c r="I25" s="184">
        <v>1.46</v>
      </c>
      <c r="J25" s="185">
        <f t="shared" si="2"/>
        <v>0.16044407930383769</v>
      </c>
      <c r="K25" s="399"/>
      <c r="L25" s="399"/>
      <c r="M25" s="400"/>
    </row>
    <row r="26" spans="1:13" x14ac:dyDescent="0.25">
      <c r="A26" s="174">
        <v>19</v>
      </c>
      <c r="B26" s="174" t="s">
        <v>182</v>
      </c>
      <c r="C26" s="174">
        <v>15.1</v>
      </c>
      <c r="D26" s="174">
        <v>6.4</v>
      </c>
      <c r="E26" s="174">
        <f t="shared" si="0"/>
        <v>10.75</v>
      </c>
      <c r="F26" s="183">
        <v>-34</v>
      </c>
      <c r="G26" s="174">
        <v>6.4</v>
      </c>
      <c r="H26" s="174">
        <f t="shared" si="1"/>
        <v>1.2048429028217742</v>
      </c>
      <c r="I26" s="184">
        <v>1.18</v>
      </c>
      <c r="J26" s="185">
        <f t="shared" si="2"/>
        <v>2.1053307476079881E-2</v>
      </c>
      <c r="K26" s="399"/>
      <c r="L26" s="399"/>
      <c r="M26" s="400"/>
    </row>
    <row r="27" spans="1:13" x14ac:dyDescent="0.25">
      <c r="A27" s="174">
        <v>20</v>
      </c>
      <c r="B27" s="174" t="s">
        <v>182</v>
      </c>
      <c r="C27" s="174">
        <v>12.3</v>
      </c>
      <c r="D27" s="174">
        <v>9.4</v>
      </c>
      <c r="E27" s="174">
        <f t="shared" si="0"/>
        <v>10.850000000000001</v>
      </c>
      <c r="F27" s="183">
        <v>-34</v>
      </c>
      <c r="G27" s="174">
        <v>6.4</v>
      </c>
      <c r="H27" s="174">
        <f t="shared" si="1"/>
        <v>0.69812309994842614</v>
      </c>
      <c r="I27" s="184">
        <v>0.76</v>
      </c>
      <c r="J27" s="185">
        <f t="shared" si="2"/>
        <v>8.1416973752070881E-2</v>
      </c>
      <c r="K27" s="399"/>
      <c r="L27" s="399"/>
      <c r="M27" s="400"/>
    </row>
    <row r="28" spans="1:13" x14ac:dyDescent="0.25">
      <c r="A28" s="174">
        <v>21</v>
      </c>
      <c r="B28" s="174" t="s">
        <v>182</v>
      </c>
      <c r="C28" s="174">
        <v>11.6</v>
      </c>
      <c r="D28" s="174">
        <v>9.3000000000000007</v>
      </c>
      <c r="E28" s="174">
        <f t="shared" si="0"/>
        <v>10.45</v>
      </c>
      <c r="F28" s="183">
        <v>-34</v>
      </c>
      <c r="G28" s="174">
        <v>6.4</v>
      </c>
      <c r="H28" s="174">
        <f t="shared" si="1"/>
        <v>0.61279339668504895</v>
      </c>
      <c r="I28" s="184">
        <v>0.73</v>
      </c>
      <c r="J28" s="185">
        <f t="shared" si="2"/>
        <v>0.16055699084239866</v>
      </c>
      <c r="K28" s="399"/>
      <c r="L28" s="399"/>
      <c r="M28" s="400"/>
    </row>
    <row r="29" spans="1:13" x14ac:dyDescent="0.25">
      <c r="A29" s="174">
        <v>22</v>
      </c>
      <c r="B29" s="174" t="s">
        <v>182</v>
      </c>
      <c r="C29" s="174">
        <v>9.9</v>
      </c>
      <c r="D29" s="174">
        <v>4.5</v>
      </c>
      <c r="E29" s="174">
        <f t="shared" si="0"/>
        <v>7.2</v>
      </c>
      <c r="F29" s="183">
        <v>-34</v>
      </c>
      <c r="G29" s="174">
        <v>6.4</v>
      </c>
      <c r="H29" s="174">
        <f t="shared" si="1"/>
        <v>0.82778977171163448</v>
      </c>
      <c r="I29" s="184">
        <v>0.95</v>
      </c>
      <c r="J29" s="185">
        <f t="shared" si="2"/>
        <v>0.12864234556670051</v>
      </c>
      <c r="K29" s="399"/>
      <c r="L29" s="399"/>
      <c r="M29" s="400"/>
    </row>
    <row r="30" spans="1:13" x14ac:dyDescent="0.25">
      <c r="A30" s="174">
        <v>23</v>
      </c>
      <c r="B30" s="174" t="s">
        <v>182</v>
      </c>
      <c r="C30" s="174">
        <v>7.1</v>
      </c>
      <c r="D30" s="174">
        <v>4.5999999999999996</v>
      </c>
      <c r="E30" s="174">
        <f t="shared" si="0"/>
        <v>5.85</v>
      </c>
      <c r="F30" s="183">
        <v>-34</v>
      </c>
      <c r="G30" s="174">
        <v>6.4</v>
      </c>
      <c r="H30" s="174">
        <f t="shared" si="1"/>
        <v>0.53181920777647751</v>
      </c>
      <c r="I30" s="184">
        <v>0.54</v>
      </c>
      <c r="J30" s="185">
        <f t="shared" si="2"/>
        <v>1.5149615228745418E-2</v>
      </c>
      <c r="K30" s="402">
        <f>SUM(K2:K29)</f>
        <v>32.646216370514324</v>
      </c>
      <c r="L30" s="402">
        <f>SUM(L2:L29)</f>
        <v>33.519999999999996</v>
      </c>
      <c r="M30" s="400">
        <f>ABS(K30-L30)/L30</f>
        <v>2.6067530712579716E-2</v>
      </c>
    </row>
    <row r="31" spans="1:13" x14ac:dyDescent="0.25">
      <c r="A31" s="174">
        <v>24</v>
      </c>
      <c r="B31" s="174" t="s">
        <v>182</v>
      </c>
      <c r="C31" s="174">
        <v>6.7</v>
      </c>
      <c r="D31" s="174">
        <v>4.8</v>
      </c>
      <c r="E31" s="174">
        <f t="shared" si="0"/>
        <v>5.75</v>
      </c>
      <c r="F31" s="183">
        <v>-34</v>
      </c>
      <c r="G31" s="174">
        <v>6.4</v>
      </c>
      <c r="H31" s="174"/>
      <c r="I31" s="184"/>
      <c r="J31" s="185"/>
      <c r="K31" s="402"/>
      <c r="L31" s="402"/>
      <c r="M31" s="400"/>
    </row>
    <row r="32" spans="1:13" x14ac:dyDescent="0.25">
      <c r="A32" s="186"/>
      <c r="B32" s="186"/>
      <c r="C32" s="186"/>
      <c r="D32" s="186"/>
      <c r="E32" s="186"/>
      <c r="F32" s="186"/>
      <c r="G32" s="186"/>
      <c r="H32" s="187">
        <f>SUM(H2:H31)</f>
        <v>33.17803557829081</v>
      </c>
      <c r="I32" s="188">
        <f>SUM(I2:I31)</f>
        <v>34.06</v>
      </c>
      <c r="J32" s="189">
        <f>AVERAGE(J2:J30)</f>
        <v>0.25678966612196236</v>
      </c>
      <c r="K32" s="402"/>
      <c r="L32" s="402"/>
      <c r="M32" s="400"/>
    </row>
    <row r="33" spans="1:46" x14ac:dyDescent="0.25">
      <c r="A33" s="186"/>
      <c r="B33" s="186"/>
      <c r="C33" s="186"/>
      <c r="D33" s="186"/>
      <c r="E33" s="186"/>
      <c r="F33" s="186"/>
      <c r="G33" s="186"/>
      <c r="H33" s="174">
        <f>AVERAGE(H2:H31)</f>
        <v>1.1440701923548555</v>
      </c>
      <c r="I33" s="174">
        <f>AVERAGE(I2:I31)</f>
        <v>1.1744827586206896</v>
      </c>
      <c r="J33" s="181"/>
      <c r="K33" s="402"/>
      <c r="L33" s="402"/>
      <c r="M33" s="400"/>
    </row>
    <row r="44" spans="1:46" x14ac:dyDescent="0.25">
      <c r="A44" s="89" t="s">
        <v>183</v>
      </c>
      <c r="B44" s="21" t="s">
        <v>184</v>
      </c>
      <c r="C44" s="23" t="s">
        <v>185</v>
      </c>
      <c r="D44" s="24" t="s">
        <v>186</v>
      </c>
      <c r="F44" s="87">
        <v>24</v>
      </c>
      <c r="G44" s="14">
        <v>1.17</v>
      </c>
    </row>
    <row r="45" spans="1:46" x14ac:dyDescent="0.25">
      <c r="A45" s="90">
        <v>25</v>
      </c>
      <c r="B45" s="20">
        <v>9.3000000000000007</v>
      </c>
      <c r="C45" s="20">
        <v>6.1</v>
      </c>
      <c r="D45" s="20">
        <v>3.2</v>
      </c>
      <c r="F45" s="87">
        <v>25</v>
      </c>
      <c r="G45" s="14">
        <v>0.9</v>
      </c>
      <c r="O45" s="89" t="s">
        <v>183</v>
      </c>
      <c r="P45" s="90">
        <v>25</v>
      </c>
      <c r="Q45" s="90">
        <v>26</v>
      </c>
      <c r="R45" s="90">
        <v>27</v>
      </c>
      <c r="S45" s="90">
        <v>28</v>
      </c>
      <c r="T45" s="90">
        <v>29</v>
      </c>
      <c r="U45" s="90">
        <v>30</v>
      </c>
      <c r="V45" s="90">
        <v>1</v>
      </c>
      <c r="W45" s="90">
        <v>2</v>
      </c>
      <c r="X45" s="90">
        <v>3</v>
      </c>
      <c r="Y45" s="90">
        <v>4</v>
      </c>
      <c r="Z45" s="90">
        <v>5</v>
      </c>
      <c r="AA45" s="90">
        <v>6</v>
      </c>
      <c r="AB45" s="90">
        <v>7</v>
      </c>
      <c r="AC45" s="90">
        <v>8</v>
      </c>
      <c r="AD45" s="90">
        <v>9</v>
      </c>
      <c r="AE45" s="90">
        <v>10</v>
      </c>
      <c r="AF45" s="90">
        <v>11</v>
      </c>
      <c r="AG45" s="90">
        <v>12</v>
      </c>
      <c r="AH45" s="90">
        <v>13</v>
      </c>
      <c r="AI45" s="90">
        <v>14</v>
      </c>
      <c r="AJ45" s="90">
        <v>15</v>
      </c>
      <c r="AK45" s="90">
        <v>16</v>
      </c>
      <c r="AL45" s="90">
        <v>17</v>
      </c>
      <c r="AM45" s="90">
        <v>18</v>
      </c>
      <c r="AN45" s="90">
        <v>19</v>
      </c>
      <c r="AO45" s="90">
        <v>20</v>
      </c>
      <c r="AP45" s="90">
        <v>21</v>
      </c>
      <c r="AQ45" s="90">
        <v>22</v>
      </c>
      <c r="AR45" s="90">
        <v>23</v>
      </c>
      <c r="AS45" s="90">
        <v>24</v>
      </c>
      <c r="AT45" s="22"/>
    </row>
    <row r="46" spans="1:46" x14ac:dyDescent="0.25">
      <c r="A46" s="90">
        <v>26</v>
      </c>
      <c r="B46" s="20">
        <v>10</v>
      </c>
      <c r="C46" s="20">
        <v>5.0999999999999996</v>
      </c>
      <c r="D46" s="20">
        <v>4.9000000000000004</v>
      </c>
      <c r="F46" s="87">
        <v>26</v>
      </c>
      <c r="G46" s="14">
        <v>1.06</v>
      </c>
      <c r="O46" s="21" t="s">
        <v>184</v>
      </c>
      <c r="P46" s="20">
        <v>9.3000000000000007</v>
      </c>
      <c r="Q46" s="20">
        <v>10</v>
      </c>
      <c r="R46" s="20">
        <v>10.1</v>
      </c>
      <c r="S46" s="20">
        <v>10.6</v>
      </c>
      <c r="T46" s="20">
        <v>9.9</v>
      </c>
      <c r="U46" s="20">
        <v>11.2</v>
      </c>
      <c r="V46" s="20">
        <v>13.8</v>
      </c>
      <c r="W46" s="20">
        <v>13.5</v>
      </c>
      <c r="X46" s="20">
        <v>14.8</v>
      </c>
      <c r="Y46" s="20">
        <v>17.2</v>
      </c>
      <c r="Z46" s="20">
        <v>15.9</v>
      </c>
      <c r="AA46" s="20">
        <v>17.600000000000001</v>
      </c>
      <c r="AB46" s="20">
        <v>17.399999999999999</v>
      </c>
      <c r="AC46" s="20">
        <v>16.7</v>
      </c>
      <c r="AD46" s="20">
        <v>9.6</v>
      </c>
      <c r="AE46" s="20">
        <v>11.5</v>
      </c>
      <c r="AF46" s="20">
        <v>11.4</v>
      </c>
      <c r="AG46" s="20">
        <v>11.9</v>
      </c>
      <c r="AH46" s="20">
        <v>10.7</v>
      </c>
      <c r="AI46" s="20">
        <v>11.9</v>
      </c>
      <c r="AJ46" s="20">
        <v>18.3</v>
      </c>
      <c r="AK46" s="20">
        <v>19.600000000000001</v>
      </c>
      <c r="AL46" s="20">
        <v>15.6</v>
      </c>
      <c r="AM46" s="20">
        <v>14.5</v>
      </c>
      <c r="AN46" s="20">
        <v>15.1</v>
      </c>
      <c r="AO46" s="20">
        <v>12.3</v>
      </c>
      <c r="AP46" s="20">
        <v>11.6</v>
      </c>
      <c r="AQ46" s="20">
        <v>9.9</v>
      </c>
      <c r="AR46" s="20">
        <v>7.1</v>
      </c>
      <c r="AS46" s="20">
        <v>6.7</v>
      </c>
      <c r="AT46" s="22"/>
    </row>
    <row r="47" spans="1:46" x14ac:dyDescent="0.25">
      <c r="A47" s="90">
        <v>27</v>
      </c>
      <c r="B47" s="20">
        <v>10.1</v>
      </c>
      <c r="C47" s="20">
        <v>3.7</v>
      </c>
      <c r="D47" s="20">
        <v>6.4</v>
      </c>
      <c r="F47" s="87">
        <v>27</v>
      </c>
      <c r="G47" s="14">
        <v>1.5</v>
      </c>
      <c r="O47" s="23" t="s">
        <v>185</v>
      </c>
      <c r="P47" s="20">
        <v>6.1</v>
      </c>
      <c r="Q47" s="20">
        <v>5.0999999999999996</v>
      </c>
      <c r="R47" s="20">
        <v>3.7</v>
      </c>
      <c r="S47" s="20">
        <v>3.3</v>
      </c>
      <c r="T47" s="20">
        <v>0.3</v>
      </c>
      <c r="U47" s="20">
        <v>2.9</v>
      </c>
      <c r="V47" s="20">
        <v>5</v>
      </c>
      <c r="W47" s="20">
        <v>7.5</v>
      </c>
      <c r="X47" s="20">
        <v>7.7</v>
      </c>
      <c r="Y47" s="20">
        <v>9.6999999999999993</v>
      </c>
      <c r="Z47" s="20">
        <v>9.1999999999999993</v>
      </c>
      <c r="AA47" s="20">
        <v>7.2</v>
      </c>
      <c r="AB47" s="20">
        <v>8.1</v>
      </c>
      <c r="AC47" s="20">
        <v>9.1999999999999993</v>
      </c>
      <c r="AD47" s="91">
        <v>0</v>
      </c>
      <c r="AE47" s="20">
        <v>5.2</v>
      </c>
      <c r="AF47" s="20">
        <v>4.5</v>
      </c>
      <c r="AG47" s="20">
        <v>4.5999999999999996</v>
      </c>
      <c r="AH47" s="20">
        <v>2.4</v>
      </c>
      <c r="AI47" s="20">
        <v>0.1</v>
      </c>
      <c r="AJ47" s="20">
        <v>2.7</v>
      </c>
      <c r="AK47" s="20">
        <v>13.6</v>
      </c>
      <c r="AL47" s="20">
        <v>7.6</v>
      </c>
      <c r="AM47" s="20">
        <v>4.7</v>
      </c>
      <c r="AN47" s="20">
        <v>6.4</v>
      </c>
      <c r="AO47" s="20">
        <v>9.4</v>
      </c>
      <c r="AP47" s="20">
        <v>9.3000000000000007</v>
      </c>
      <c r="AQ47" s="20">
        <v>4.5</v>
      </c>
      <c r="AR47" s="20">
        <v>4.5999999999999996</v>
      </c>
      <c r="AS47" s="20">
        <v>4.8</v>
      </c>
      <c r="AT47" s="22"/>
    </row>
    <row r="48" spans="1:46" x14ac:dyDescent="0.25">
      <c r="A48" s="90">
        <v>28</v>
      </c>
      <c r="B48" s="20">
        <v>10.6</v>
      </c>
      <c r="C48" s="20">
        <v>3.3</v>
      </c>
      <c r="D48" s="20">
        <v>7.3</v>
      </c>
      <c r="F48" s="87">
        <v>28</v>
      </c>
      <c r="G48" s="14">
        <v>1.05</v>
      </c>
      <c r="O48" s="24" t="s">
        <v>186</v>
      </c>
      <c r="P48" s="20">
        <v>3.2</v>
      </c>
      <c r="Q48" s="20">
        <v>4.9000000000000004</v>
      </c>
      <c r="R48" s="20">
        <v>6.4</v>
      </c>
      <c r="S48" s="20">
        <v>7.3</v>
      </c>
      <c r="T48" s="20">
        <v>9.6</v>
      </c>
      <c r="U48" s="20">
        <v>8.3000000000000007</v>
      </c>
      <c r="V48" s="20">
        <v>8.8000000000000007</v>
      </c>
      <c r="W48" s="20">
        <v>6</v>
      </c>
      <c r="X48" s="20">
        <v>7.1</v>
      </c>
      <c r="Y48" s="20">
        <v>7.5</v>
      </c>
      <c r="Z48" s="20">
        <v>6.7</v>
      </c>
      <c r="AA48" s="20">
        <v>10.4</v>
      </c>
      <c r="AB48" s="20">
        <v>9.3000000000000007</v>
      </c>
      <c r="AC48" s="20">
        <v>7.5</v>
      </c>
      <c r="AD48" s="20">
        <v>9.6</v>
      </c>
      <c r="AE48" s="20">
        <v>6.3</v>
      </c>
      <c r="AF48" s="20">
        <v>6.9</v>
      </c>
      <c r="AG48" s="20">
        <v>7.3</v>
      </c>
      <c r="AH48" s="20">
        <v>8.3000000000000007</v>
      </c>
      <c r="AI48" s="20">
        <v>11.8</v>
      </c>
      <c r="AJ48" s="20">
        <v>15.6</v>
      </c>
      <c r="AK48" s="20">
        <v>6</v>
      </c>
      <c r="AL48" s="20">
        <v>8</v>
      </c>
      <c r="AM48" s="20">
        <v>9.8000000000000007</v>
      </c>
      <c r="AN48" s="20">
        <v>8.6999999999999993</v>
      </c>
      <c r="AO48" s="20">
        <v>2.9</v>
      </c>
      <c r="AP48" s="20">
        <v>2.2999999999999998</v>
      </c>
      <c r="AQ48" s="20">
        <v>5.4</v>
      </c>
      <c r="AR48" s="20">
        <v>2.5</v>
      </c>
      <c r="AS48" s="20">
        <v>1.9</v>
      </c>
      <c r="AT48" s="19"/>
    </row>
    <row r="49" spans="1:45" x14ac:dyDescent="0.25">
      <c r="A49" s="90">
        <v>29</v>
      </c>
      <c r="B49" s="20">
        <v>9.9</v>
      </c>
      <c r="C49" s="20">
        <v>0.3</v>
      </c>
      <c r="D49" s="20">
        <v>9.6</v>
      </c>
      <c r="F49" s="87">
        <v>29</v>
      </c>
      <c r="G49" s="14">
        <v>0.97</v>
      </c>
    </row>
    <row r="50" spans="1:45" x14ac:dyDescent="0.25">
      <c r="A50" s="90">
        <v>30</v>
      </c>
      <c r="B50" s="20">
        <v>11.2</v>
      </c>
      <c r="C50" s="20">
        <v>2.9</v>
      </c>
      <c r="D50" s="20">
        <v>8.3000000000000007</v>
      </c>
      <c r="F50" s="87">
        <v>30</v>
      </c>
      <c r="G50" s="14">
        <v>0.81</v>
      </c>
    </row>
    <row r="51" spans="1:45" x14ac:dyDescent="0.25">
      <c r="A51" s="90">
        <v>1</v>
      </c>
      <c r="B51" s="20">
        <v>13.8</v>
      </c>
      <c r="C51" s="20">
        <v>5</v>
      </c>
      <c r="D51" s="20">
        <v>8.8000000000000007</v>
      </c>
      <c r="F51" s="87">
        <v>1</v>
      </c>
      <c r="G51" s="14">
        <v>0.94</v>
      </c>
      <c r="O51" s="87">
        <v>24</v>
      </c>
      <c r="P51" s="87">
        <v>25</v>
      </c>
      <c r="Q51" s="87">
        <v>26</v>
      </c>
      <c r="R51" s="87">
        <v>27</v>
      </c>
      <c r="S51" s="87">
        <v>28</v>
      </c>
      <c r="T51" s="87">
        <v>29</v>
      </c>
      <c r="U51" s="87">
        <v>30</v>
      </c>
      <c r="V51" s="87">
        <v>1</v>
      </c>
      <c r="W51" s="87">
        <v>2</v>
      </c>
      <c r="X51" s="87">
        <v>3</v>
      </c>
      <c r="Y51" s="87">
        <v>4</v>
      </c>
      <c r="Z51" s="87">
        <v>5</v>
      </c>
      <c r="AA51" s="87">
        <v>6</v>
      </c>
      <c r="AB51" s="87">
        <v>7</v>
      </c>
      <c r="AC51" s="87">
        <v>8</v>
      </c>
      <c r="AD51" s="87">
        <v>9</v>
      </c>
      <c r="AE51" s="87">
        <v>10</v>
      </c>
      <c r="AF51" s="87">
        <v>11</v>
      </c>
      <c r="AG51" s="87">
        <v>12</v>
      </c>
      <c r="AH51" s="87">
        <v>13</v>
      </c>
      <c r="AI51" s="87">
        <v>14</v>
      </c>
      <c r="AJ51" s="87">
        <v>15</v>
      </c>
      <c r="AK51" s="87">
        <v>16</v>
      </c>
      <c r="AL51" s="87">
        <v>17</v>
      </c>
      <c r="AM51" s="87">
        <v>18</v>
      </c>
      <c r="AN51" s="87">
        <v>19</v>
      </c>
      <c r="AO51" s="87">
        <v>20</v>
      </c>
      <c r="AP51" s="87">
        <v>21</v>
      </c>
      <c r="AQ51" s="87">
        <v>22</v>
      </c>
      <c r="AR51" s="87">
        <v>23</v>
      </c>
      <c r="AS51" s="88"/>
    </row>
    <row r="52" spans="1:45" x14ac:dyDescent="0.25">
      <c r="A52" s="90">
        <v>2</v>
      </c>
      <c r="B52" s="20">
        <v>13.5</v>
      </c>
      <c r="C52" s="20">
        <v>7.5</v>
      </c>
      <c r="D52" s="20">
        <v>6</v>
      </c>
      <c r="F52" s="87">
        <v>2</v>
      </c>
      <c r="G52" s="14">
        <v>0.85</v>
      </c>
      <c r="O52" s="14">
        <v>1.17</v>
      </c>
      <c r="P52" s="14">
        <v>0.9</v>
      </c>
      <c r="Q52" s="14">
        <v>1.06</v>
      </c>
      <c r="R52" s="14">
        <v>1.5</v>
      </c>
      <c r="S52" s="14">
        <v>1.05</v>
      </c>
      <c r="T52" s="14">
        <v>0.97</v>
      </c>
      <c r="U52" s="14">
        <v>0.81</v>
      </c>
      <c r="V52" s="14">
        <v>0.94</v>
      </c>
      <c r="W52" s="14">
        <v>0.85</v>
      </c>
      <c r="X52" s="14">
        <v>0.81</v>
      </c>
      <c r="Y52" s="14">
        <v>0.97</v>
      </c>
      <c r="Z52" s="14">
        <v>1.04</v>
      </c>
      <c r="AA52" s="14">
        <v>1.2</v>
      </c>
      <c r="AB52" s="14">
        <v>1.47</v>
      </c>
      <c r="AC52" s="14">
        <v>1.25</v>
      </c>
      <c r="AD52" s="14" t="s">
        <v>188</v>
      </c>
      <c r="AE52" s="14">
        <v>0.8</v>
      </c>
      <c r="AF52" s="14">
        <v>0.97</v>
      </c>
      <c r="AG52" s="14">
        <v>0.85</v>
      </c>
      <c r="AH52" s="14">
        <v>0.81</v>
      </c>
      <c r="AI52" s="14">
        <v>0.66</v>
      </c>
      <c r="AJ52" s="14">
        <v>2.59</v>
      </c>
      <c r="AK52" s="14">
        <v>4.53</v>
      </c>
      <c r="AL52" s="14">
        <v>1.24</v>
      </c>
      <c r="AM52" s="14">
        <v>1.46</v>
      </c>
      <c r="AN52" s="14">
        <v>1.18</v>
      </c>
      <c r="AO52" s="14">
        <v>0.76</v>
      </c>
      <c r="AP52" s="14">
        <v>0.73</v>
      </c>
      <c r="AQ52" s="14">
        <v>0.95</v>
      </c>
      <c r="AR52" s="14">
        <v>0.54</v>
      </c>
      <c r="AS52" s="86"/>
    </row>
    <row r="53" spans="1:45" x14ac:dyDescent="0.25">
      <c r="A53" s="90">
        <v>3</v>
      </c>
      <c r="B53" s="20">
        <v>14.8</v>
      </c>
      <c r="C53" s="20">
        <v>7.7</v>
      </c>
      <c r="D53" s="20">
        <v>7.1</v>
      </c>
      <c r="F53" s="87">
        <v>3</v>
      </c>
      <c r="G53" s="14">
        <v>0.81</v>
      </c>
    </row>
    <row r="54" spans="1:45" x14ac:dyDescent="0.25">
      <c r="A54" s="90">
        <v>4</v>
      </c>
      <c r="B54" s="20">
        <v>17.2</v>
      </c>
      <c r="C54" s="20">
        <v>9.6999999999999993</v>
      </c>
      <c r="D54" s="20">
        <v>7.5</v>
      </c>
      <c r="F54" s="87">
        <v>4</v>
      </c>
      <c r="G54" s="14">
        <v>0.97</v>
      </c>
    </row>
    <row r="55" spans="1:45" x14ac:dyDescent="0.25">
      <c r="A55" s="90">
        <v>5</v>
      </c>
      <c r="B55" s="20">
        <v>15.9</v>
      </c>
      <c r="C55" s="20">
        <v>9.1999999999999993</v>
      </c>
      <c r="D55" s="20">
        <v>6.7</v>
      </c>
      <c r="F55" s="87">
        <v>5</v>
      </c>
      <c r="G55" s="14">
        <v>1.04</v>
      </c>
    </row>
    <row r="56" spans="1:45" x14ac:dyDescent="0.25">
      <c r="A56" s="90">
        <v>6</v>
      </c>
      <c r="B56" s="20">
        <v>17.600000000000001</v>
      </c>
      <c r="C56" s="20">
        <v>7.2</v>
      </c>
      <c r="D56" s="20">
        <v>10.4</v>
      </c>
      <c r="F56" s="87">
        <v>6</v>
      </c>
      <c r="G56" s="14">
        <v>1.2</v>
      </c>
    </row>
    <row r="57" spans="1:45" x14ac:dyDescent="0.25">
      <c r="A57" s="90">
        <v>7</v>
      </c>
      <c r="B57" s="20">
        <v>17.399999999999999</v>
      </c>
      <c r="C57" s="20">
        <v>8.1</v>
      </c>
      <c r="D57" s="20">
        <v>9.3000000000000007</v>
      </c>
      <c r="F57" s="87">
        <v>7</v>
      </c>
      <c r="G57" s="14">
        <v>1.47</v>
      </c>
    </row>
    <row r="58" spans="1:45" x14ac:dyDescent="0.25">
      <c r="A58" s="90">
        <v>8</v>
      </c>
      <c r="B58" s="20">
        <v>16.7</v>
      </c>
      <c r="C58" s="20">
        <v>9.1999999999999993</v>
      </c>
      <c r="D58" s="20">
        <v>7.5</v>
      </c>
      <c r="F58" s="87">
        <v>8</v>
      </c>
      <c r="G58" s="14">
        <v>1.25</v>
      </c>
    </row>
    <row r="59" spans="1:45" x14ac:dyDescent="0.25">
      <c r="A59" s="90">
        <v>9</v>
      </c>
      <c r="B59" s="20">
        <v>9.6</v>
      </c>
      <c r="C59" s="91">
        <v>0</v>
      </c>
      <c r="D59" s="20">
        <v>9.6</v>
      </c>
      <c r="F59" s="87">
        <v>9</v>
      </c>
      <c r="G59" s="14" t="s">
        <v>188</v>
      </c>
    </row>
    <row r="60" spans="1:45" x14ac:dyDescent="0.25">
      <c r="A60" s="90">
        <v>10</v>
      </c>
      <c r="B60" s="20">
        <v>11.5</v>
      </c>
      <c r="C60" s="20">
        <v>5.2</v>
      </c>
      <c r="D60" s="20">
        <v>6.3</v>
      </c>
      <c r="F60" s="87">
        <v>10</v>
      </c>
      <c r="G60" s="14">
        <v>0.8</v>
      </c>
    </row>
    <row r="61" spans="1:45" x14ac:dyDescent="0.25">
      <c r="A61" s="90">
        <v>11</v>
      </c>
      <c r="B61" s="20">
        <v>11.4</v>
      </c>
      <c r="C61" s="20">
        <v>4.5</v>
      </c>
      <c r="D61" s="20">
        <v>6.9</v>
      </c>
      <c r="F61" s="87">
        <v>11</v>
      </c>
      <c r="G61" s="14">
        <v>0.97</v>
      </c>
    </row>
    <row r="62" spans="1:45" x14ac:dyDescent="0.25">
      <c r="A62" s="90">
        <v>12</v>
      </c>
      <c r="B62" s="20">
        <v>11.9</v>
      </c>
      <c r="C62" s="20">
        <v>4.5999999999999996</v>
      </c>
      <c r="D62" s="20">
        <v>7.3</v>
      </c>
      <c r="F62" s="87">
        <v>12</v>
      </c>
      <c r="G62" s="14">
        <v>0.85</v>
      </c>
    </row>
    <row r="63" spans="1:45" x14ac:dyDescent="0.25">
      <c r="A63" s="90">
        <v>13</v>
      </c>
      <c r="B63" s="20">
        <v>10.7</v>
      </c>
      <c r="C63" s="20">
        <v>2.4</v>
      </c>
      <c r="D63" s="20">
        <v>8.3000000000000007</v>
      </c>
      <c r="F63" s="87">
        <v>13</v>
      </c>
      <c r="G63" s="14">
        <v>0.81</v>
      </c>
    </row>
    <row r="64" spans="1:45" x14ac:dyDescent="0.25">
      <c r="A64" s="90">
        <v>14</v>
      </c>
      <c r="B64" s="20">
        <v>11.9</v>
      </c>
      <c r="C64" s="20">
        <v>0.1</v>
      </c>
      <c r="D64" s="20">
        <v>11.8</v>
      </c>
      <c r="F64" s="87">
        <v>14</v>
      </c>
      <c r="G64" s="14">
        <v>0.66</v>
      </c>
    </row>
    <row r="65" spans="1:7" x14ac:dyDescent="0.25">
      <c r="A65" s="90">
        <v>15</v>
      </c>
      <c r="B65" s="20">
        <v>18.3</v>
      </c>
      <c r="C65" s="20">
        <v>2.7</v>
      </c>
      <c r="D65" s="20">
        <v>15.6</v>
      </c>
      <c r="F65" s="87">
        <v>15</v>
      </c>
      <c r="G65" s="14">
        <v>2.59</v>
      </c>
    </row>
    <row r="66" spans="1:7" x14ac:dyDescent="0.25">
      <c r="A66" s="90">
        <v>16</v>
      </c>
      <c r="B66" s="20">
        <v>19.600000000000001</v>
      </c>
      <c r="C66" s="20">
        <v>13.6</v>
      </c>
      <c r="D66" s="20">
        <v>6</v>
      </c>
      <c r="F66" s="87">
        <v>16</v>
      </c>
      <c r="G66" s="14">
        <v>4.53</v>
      </c>
    </row>
    <row r="67" spans="1:7" x14ac:dyDescent="0.25">
      <c r="A67" s="90">
        <v>17</v>
      </c>
      <c r="B67" s="20">
        <v>15.6</v>
      </c>
      <c r="C67" s="20">
        <v>7.6</v>
      </c>
      <c r="D67" s="20">
        <v>8</v>
      </c>
      <c r="F67" s="87">
        <v>17</v>
      </c>
      <c r="G67" s="14">
        <v>1.24</v>
      </c>
    </row>
    <row r="68" spans="1:7" x14ac:dyDescent="0.25">
      <c r="A68" s="90">
        <v>18</v>
      </c>
      <c r="B68" s="20">
        <v>14.5</v>
      </c>
      <c r="C68" s="20">
        <v>4.7</v>
      </c>
      <c r="D68" s="20">
        <v>9.8000000000000007</v>
      </c>
      <c r="F68" s="87">
        <v>18</v>
      </c>
      <c r="G68" s="14">
        <v>1.46</v>
      </c>
    </row>
    <row r="69" spans="1:7" x14ac:dyDescent="0.25">
      <c r="A69" s="90">
        <v>19</v>
      </c>
      <c r="B69" s="20">
        <v>15.1</v>
      </c>
      <c r="C69" s="20">
        <v>6.4</v>
      </c>
      <c r="D69" s="20">
        <v>8.6999999999999993</v>
      </c>
      <c r="F69" s="87">
        <v>19</v>
      </c>
      <c r="G69" s="14">
        <v>1.18</v>
      </c>
    </row>
    <row r="70" spans="1:7" x14ac:dyDescent="0.25">
      <c r="A70" s="90">
        <v>20</v>
      </c>
      <c r="B70" s="20">
        <v>12.3</v>
      </c>
      <c r="C70" s="20">
        <v>9.4</v>
      </c>
      <c r="D70" s="20">
        <v>2.9</v>
      </c>
      <c r="F70" s="87">
        <v>20</v>
      </c>
      <c r="G70" s="14">
        <v>0.76</v>
      </c>
    </row>
    <row r="71" spans="1:7" x14ac:dyDescent="0.25">
      <c r="A71" s="90">
        <v>21</v>
      </c>
      <c r="B71" s="20">
        <v>11.6</v>
      </c>
      <c r="C71" s="20">
        <v>9.3000000000000007</v>
      </c>
      <c r="D71" s="20">
        <v>2.2999999999999998</v>
      </c>
      <c r="F71" s="87">
        <v>21</v>
      </c>
      <c r="G71" s="14">
        <v>0.73</v>
      </c>
    </row>
    <row r="72" spans="1:7" x14ac:dyDescent="0.25">
      <c r="A72" s="90">
        <v>22</v>
      </c>
      <c r="B72" s="20">
        <v>9.9</v>
      </c>
      <c r="C72" s="20">
        <v>4.5</v>
      </c>
      <c r="D72" s="20">
        <v>5.4</v>
      </c>
      <c r="F72" s="87">
        <v>22</v>
      </c>
      <c r="G72" s="14">
        <v>0.95</v>
      </c>
    </row>
    <row r="73" spans="1:7" x14ac:dyDescent="0.25">
      <c r="A73" s="90">
        <v>23</v>
      </c>
      <c r="B73" s="20">
        <v>7.1</v>
      </c>
      <c r="C73" s="20">
        <v>4.5999999999999996</v>
      </c>
      <c r="D73" s="20">
        <v>2.5</v>
      </c>
      <c r="F73" s="87">
        <v>23</v>
      </c>
      <c r="G73" s="14">
        <v>0.54</v>
      </c>
    </row>
    <row r="74" spans="1:7" x14ac:dyDescent="0.25">
      <c r="A74" s="90">
        <v>24</v>
      </c>
      <c r="B74" s="20">
        <v>6.7</v>
      </c>
      <c r="C74" s="20">
        <v>4.8</v>
      </c>
      <c r="D74" s="20">
        <v>1.9</v>
      </c>
      <c r="F74" s="88"/>
      <c r="G74" s="86"/>
    </row>
    <row r="75" spans="1:7" x14ac:dyDescent="0.25">
      <c r="A75" s="22"/>
      <c r="B75" s="22"/>
      <c r="C75" s="22"/>
      <c r="D75" s="19"/>
    </row>
  </sheetData>
  <mergeCells count="15">
    <mergeCell ref="K2:K8"/>
    <mergeCell ref="L2:L8"/>
    <mergeCell ref="M2:M8"/>
    <mergeCell ref="K9:K15"/>
    <mergeCell ref="K16:K22"/>
    <mergeCell ref="M16:M22"/>
    <mergeCell ref="M9:M15"/>
    <mergeCell ref="L9:L15"/>
    <mergeCell ref="L16:L22"/>
    <mergeCell ref="K23:K29"/>
    <mergeCell ref="K30:K33"/>
    <mergeCell ref="L30:L33"/>
    <mergeCell ref="L23:L29"/>
    <mergeCell ref="M23:M29"/>
    <mergeCell ref="M30:M33"/>
  </mergeCells>
  <conditionalFormatting sqref="J34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3" operator="greaterThan">
      <formula>0.5</formula>
    </cfRule>
  </conditionalFormatting>
  <conditionalFormatting sqref="J34:J1048576 M34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1BD6-0E8D-45F2-83E6-A5CBF0EAED00}">
  <dimension ref="A1:M94"/>
  <sheetViews>
    <sheetView tabSelected="1" workbookViewId="0">
      <selection activeCell="E1" sqref="E1"/>
    </sheetView>
  </sheetViews>
  <sheetFormatPr baseColWidth="10" defaultRowHeight="15" x14ac:dyDescent="0.25"/>
  <cols>
    <col min="7" max="7" width="10.5703125" bestFit="1" customWidth="1"/>
    <col min="8" max="8" width="18.85546875" bestFit="1" customWidth="1"/>
    <col min="9" max="9" width="15.5703125" bestFit="1" customWidth="1"/>
    <col min="10" max="10" width="10.140625" bestFit="1" customWidth="1"/>
    <col min="11" max="11" width="24.42578125" bestFit="1" customWidth="1"/>
    <col min="12" max="12" width="21.28515625" bestFit="1" customWidth="1"/>
    <col min="13" max="13" width="10.140625" bestFit="1" customWidth="1"/>
  </cols>
  <sheetData>
    <row r="1" spans="1:13" x14ac:dyDescent="0.25">
      <c r="A1" s="181" t="s">
        <v>175</v>
      </c>
      <c r="B1" s="181" t="s">
        <v>12</v>
      </c>
      <c r="C1" s="182" t="s">
        <v>184</v>
      </c>
      <c r="D1" s="182" t="s">
        <v>185</v>
      </c>
      <c r="E1" s="129" t="s">
        <v>279</v>
      </c>
      <c r="F1" s="181" t="s">
        <v>31</v>
      </c>
      <c r="G1" s="181" t="s">
        <v>178</v>
      </c>
      <c r="H1" s="174" t="s">
        <v>215</v>
      </c>
      <c r="I1" s="174" t="s">
        <v>221</v>
      </c>
      <c r="J1" s="174" t="s">
        <v>180</v>
      </c>
      <c r="K1" s="174" t="s">
        <v>224</v>
      </c>
      <c r="L1" s="174" t="s">
        <v>225</v>
      </c>
      <c r="M1" s="174" t="s">
        <v>180</v>
      </c>
    </row>
    <row r="2" spans="1:13" x14ac:dyDescent="0.25">
      <c r="A2" s="174">
        <v>25</v>
      </c>
      <c r="B2" s="174" t="s">
        <v>181</v>
      </c>
      <c r="C2" s="174">
        <v>9.3000000000000007</v>
      </c>
      <c r="D2" s="174">
        <v>6.1</v>
      </c>
      <c r="E2" s="174">
        <f>AVERAGE(C2:D2)</f>
        <v>7.7</v>
      </c>
      <c r="F2" s="183">
        <v>-34</v>
      </c>
      <c r="G2" s="174">
        <f>6.4+0.09*20</f>
        <v>8.1999999999999993</v>
      </c>
      <c r="H2" s="174">
        <f>0.0023*(E2+17)*G2*(C2-D2)^0.5</f>
        <v>0.83332350301956581</v>
      </c>
      <c r="I2" s="184">
        <v>0.9</v>
      </c>
      <c r="J2" s="185">
        <f>ABS(H2-I2)/I2</f>
        <v>7.408499664492689E-2</v>
      </c>
      <c r="K2" s="399">
        <f>SUM(H2:H8)</f>
        <v>7.9920583406342249</v>
      </c>
      <c r="L2" s="399">
        <f>SUM(I2:I8)</f>
        <v>7.2299999999999986</v>
      </c>
      <c r="M2" s="400">
        <f>ABS(K2-L2)/L2</f>
        <v>0.10540226011538402</v>
      </c>
    </row>
    <row r="3" spans="1:13" x14ac:dyDescent="0.25">
      <c r="A3" s="174">
        <v>26</v>
      </c>
      <c r="B3" s="174" t="s">
        <v>181</v>
      </c>
      <c r="C3" s="174">
        <v>10</v>
      </c>
      <c r="D3" s="174">
        <v>5.0999999999999996</v>
      </c>
      <c r="E3" s="174">
        <f t="shared" ref="E3:E31" si="0">AVERAGE(C3:D3)</f>
        <v>7.55</v>
      </c>
      <c r="F3" s="183">
        <v>-34</v>
      </c>
      <c r="G3" s="174">
        <f>6.4+0.09*19</f>
        <v>8.11</v>
      </c>
      <c r="H3" s="174">
        <f t="shared" ref="H3:H30" si="1">0.0023*(E3+17)*G3*(C3-D3)^0.5</f>
        <v>1.0136738118781505</v>
      </c>
      <c r="I3" s="184">
        <v>1.06</v>
      </c>
      <c r="J3" s="185">
        <f t="shared" ref="J3:J32" si="2">ABS(H3-I3)/I3</f>
        <v>4.3703951058348602E-2</v>
      </c>
      <c r="K3" s="399"/>
      <c r="L3" s="399"/>
      <c r="M3" s="400"/>
    </row>
    <row r="4" spans="1:13" x14ac:dyDescent="0.25">
      <c r="A4" s="174">
        <v>27</v>
      </c>
      <c r="B4" s="174" t="s">
        <v>181</v>
      </c>
      <c r="C4" s="174">
        <v>10.1</v>
      </c>
      <c r="D4" s="174">
        <v>3.7</v>
      </c>
      <c r="E4" s="174">
        <f t="shared" si="0"/>
        <v>6.9</v>
      </c>
      <c r="F4" s="183">
        <v>-34</v>
      </c>
      <c r="G4" s="174">
        <f>6.4+0.09*18</f>
        <v>8.02</v>
      </c>
      <c r="H4" s="174">
        <f t="shared" si="1"/>
        <v>1.1152958655161884</v>
      </c>
      <c r="I4" s="184">
        <v>1.5</v>
      </c>
      <c r="J4" s="185">
        <f t="shared" si="2"/>
        <v>0.25646942298920772</v>
      </c>
      <c r="K4" s="399"/>
      <c r="L4" s="399"/>
      <c r="M4" s="400"/>
    </row>
    <row r="5" spans="1:13" x14ac:dyDescent="0.25">
      <c r="A5" s="174">
        <v>28</v>
      </c>
      <c r="B5" s="174" t="s">
        <v>181</v>
      </c>
      <c r="C5" s="174">
        <v>10.6</v>
      </c>
      <c r="D5" s="174">
        <v>3.3</v>
      </c>
      <c r="E5" s="174">
        <f t="shared" si="0"/>
        <v>6.9499999999999993</v>
      </c>
      <c r="F5" s="183">
        <v>-34</v>
      </c>
      <c r="G5" s="174">
        <f>6.4+0.09*17</f>
        <v>7.9300000000000006</v>
      </c>
      <c r="H5" s="174">
        <f t="shared" si="1"/>
        <v>1.1802335912040203</v>
      </c>
      <c r="I5" s="184">
        <v>1.05</v>
      </c>
      <c r="J5" s="185">
        <f t="shared" si="2"/>
        <v>0.1240319916228764</v>
      </c>
      <c r="K5" s="399"/>
      <c r="L5" s="399"/>
      <c r="M5" s="400"/>
    </row>
    <row r="6" spans="1:13" x14ac:dyDescent="0.25">
      <c r="A6" s="174">
        <v>29</v>
      </c>
      <c r="B6" s="174" t="s">
        <v>181</v>
      </c>
      <c r="C6" s="174">
        <v>9.9</v>
      </c>
      <c r="D6" s="174">
        <v>0.3</v>
      </c>
      <c r="E6" s="174">
        <f t="shared" si="0"/>
        <v>5.1000000000000005</v>
      </c>
      <c r="F6" s="183">
        <v>-34</v>
      </c>
      <c r="G6" s="174">
        <f>6.4+0.09*16</f>
        <v>7.84</v>
      </c>
      <c r="H6" s="174">
        <f t="shared" si="1"/>
        <v>1.2347293991549988</v>
      </c>
      <c r="I6" s="184">
        <v>0.97</v>
      </c>
      <c r="J6" s="185">
        <f t="shared" si="2"/>
        <v>0.27291690634535964</v>
      </c>
      <c r="K6" s="399"/>
      <c r="L6" s="399"/>
      <c r="M6" s="400"/>
    </row>
    <row r="7" spans="1:13" x14ac:dyDescent="0.25">
      <c r="A7" s="174">
        <v>30</v>
      </c>
      <c r="B7" s="174" t="s">
        <v>181</v>
      </c>
      <c r="C7" s="174">
        <v>11.2</v>
      </c>
      <c r="D7" s="174">
        <v>2.9</v>
      </c>
      <c r="E7" s="174">
        <f t="shared" si="0"/>
        <v>7.05</v>
      </c>
      <c r="F7" s="183">
        <v>-34</v>
      </c>
      <c r="G7" s="174">
        <f>6.4+0.09*15</f>
        <v>7.75</v>
      </c>
      <c r="H7" s="174">
        <f t="shared" si="1"/>
        <v>1.2350475128352223</v>
      </c>
      <c r="I7" s="184">
        <v>0.81</v>
      </c>
      <c r="J7" s="185">
        <f t="shared" si="2"/>
        <v>0.52475001584595338</v>
      </c>
      <c r="K7" s="399"/>
      <c r="L7" s="399"/>
      <c r="M7" s="400"/>
    </row>
    <row r="8" spans="1:13" x14ac:dyDescent="0.25">
      <c r="A8" s="174">
        <v>1</v>
      </c>
      <c r="B8" s="174" t="s">
        <v>181</v>
      </c>
      <c r="C8" s="174">
        <v>13.8</v>
      </c>
      <c r="D8" s="174">
        <v>5</v>
      </c>
      <c r="E8" s="174">
        <f t="shared" si="0"/>
        <v>9.4</v>
      </c>
      <c r="F8" s="183">
        <v>-34</v>
      </c>
      <c r="G8" s="174">
        <f>6.4+0.09*14</f>
        <v>7.66</v>
      </c>
      <c r="H8" s="174">
        <f t="shared" si="1"/>
        <v>1.3797546570260788</v>
      </c>
      <c r="I8" s="184">
        <v>0.94</v>
      </c>
      <c r="J8" s="185">
        <f t="shared" si="2"/>
        <v>0.46782410321923285</v>
      </c>
      <c r="K8" s="399"/>
      <c r="L8" s="399"/>
      <c r="M8" s="400"/>
    </row>
    <row r="9" spans="1:13" x14ac:dyDescent="0.25">
      <c r="A9" s="174">
        <v>2</v>
      </c>
      <c r="B9" s="174" t="s">
        <v>181</v>
      </c>
      <c r="C9" s="174">
        <v>13.5</v>
      </c>
      <c r="D9" s="174">
        <v>7.5</v>
      </c>
      <c r="E9" s="174">
        <f t="shared" si="0"/>
        <v>10.5</v>
      </c>
      <c r="F9" s="183">
        <v>-34</v>
      </c>
      <c r="G9" s="174">
        <f>6.4+0.09*13</f>
        <v>7.57</v>
      </c>
      <c r="H9" s="174">
        <f t="shared" si="1"/>
        <v>1.1728218125689425</v>
      </c>
      <c r="I9" s="184">
        <v>0.85</v>
      </c>
      <c r="J9" s="185">
        <f t="shared" si="2"/>
        <v>0.37979036772816765</v>
      </c>
      <c r="K9" s="399">
        <f>SUM(H9:H15)</f>
        <v>9.5536668853051907</v>
      </c>
      <c r="L9" s="399">
        <f>SUM(I9:I15)</f>
        <v>7.59</v>
      </c>
      <c r="M9" s="400">
        <f t="shared" ref="M9" si="3">ABS(K9-L9)/L9</f>
        <v>0.2587176396976536</v>
      </c>
    </row>
    <row r="10" spans="1:13" x14ac:dyDescent="0.25">
      <c r="A10" s="174">
        <v>3</v>
      </c>
      <c r="B10" s="174" t="s">
        <v>182</v>
      </c>
      <c r="C10" s="174">
        <v>14.8</v>
      </c>
      <c r="D10" s="174">
        <v>7.7</v>
      </c>
      <c r="E10" s="174">
        <f t="shared" si="0"/>
        <v>11.25</v>
      </c>
      <c r="F10" s="183">
        <v>-34</v>
      </c>
      <c r="G10" s="174">
        <f>6.4+0.09*12</f>
        <v>7.48</v>
      </c>
      <c r="H10" s="174">
        <f t="shared" si="1"/>
        <v>1.2950217437556408</v>
      </c>
      <c r="I10" s="184">
        <v>0.81</v>
      </c>
      <c r="J10" s="185">
        <f t="shared" si="2"/>
        <v>0.59879227624153175</v>
      </c>
      <c r="K10" s="399"/>
      <c r="L10" s="399"/>
      <c r="M10" s="400"/>
    </row>
    <row r="11" spans="1:13" x14ac:dyDescent="0.25">
      <c r="A11" s="174">
        <v>4</v>
      </c>
      <c r="B11" s="174" t="s">
        <v>182</v>
      </c>
      <c r="C11" s="174">
        <v>17.2</v>
      </c>
      <c r="D11" s="174">
        <v>9.6999999999999993</v>
      </c>
      <c r="E11" s="174">
        <f t="shared" si="0"/>
        <v>13.45</v>
      </c>
      <c r="F11" s="183">
        <v>-34</v>
      </c>
      <c r="G11" s="174">
        <f>6.4+0.09*11</f>
        <v>7.3900000000000006</v>
      </c>
      <c r="H11" s="174">
        <f t="shared" si="1"/>
        <v>1.4173927371846058</v>
      </c>
      <c r="I11" s="184">
        <v>0.97</v>
      </c>
      <c r="J11" s="185">
        <f t="shared" si="2"/>
        <v>0.46122962596351114</v>
      </c>
      <c r="K11" s="399"/>
      <c r="L11" s="399"/>
      <c r="M11" s="400"/>
    </row>
    <row r="12" spans="1:13" x14ac:dyDescent="0.25">
      <c r="A12" s="174">
        <v>5</v>
      </c>
      <c r="B12" s="174" t="s">
        <v>182</v>
      </c>
      <c r="C12" s="174">
        <v>15.9</v>
      </c>
      <c r="D12" s="174">
        <v>9.1999999999999993</v>
      </c>
      <c r="E12" s="174">
        <f t="shared" si="0"/>
        <v>12.55</v>
      </c>
      <c r="F12" s="183">
        <v>-34</v>
      </c>
      <c r="G12" s="174">
        <f>6.4+0.09*10</f>
        <v>7.3000000000000007</v>
      </c>
      <c r="H12" s="174">
        <f t="shared" si="1"/>
        <v>1.2842381962461933</v>
      </c>
      <c r="I12" s="184">
        <v>1.04</v>
      </c>
      <c r="J12" s="185">
        <f t="shared" si="2"/>
        <v>0.23484441946749351</v>
      </c>
      <c r="K12" s="399"/>
      <c r="L12" s="399"/>
      <c r="M12" s="400"/>
    </row>
    <row r="13" spans="1:13" x14ac:dyDescent="0.25">
      <c r="A13" s="174">
        <v>6</v>
      </c>
      <c r="B13" s="174" t="s">
        <v>182</v>
      </c>
      <c r="C13" s="174">
        <v>17.600000000000001</v>
      </c>
      <c r="D13" s="174">
        <v>7.2</v>
      </c>
      <c r="E13" s="174">
        <f t="shared" si="0"/>
        <v>12.4</v>
      </c>
      <c r="F13" s="183">
        <v>-34</v>
      </c>
      <c r="G13" s="174">
        <f>6.4+0.09*9</f>
        <v>7.21</v>
      </c>
      <c r="H13" s="174">
        <f t="shared" si="1"/>
        <v>1.5722699020228099</v>
      </c>
      <c r="I13" s="184">
        <v>1.2</v>
      </c>
      <c r="J13" s="185">
        <f t="shared" si="2"/>
        <v>0.31022491835234167</v>
      </c>
      <c r="K13" s="399"/>
      <c r="L13" s="399"/>
      <c r="M13" s="400"/>
    </row>
    <row r="14" spans="1:13" x14ac:dyDescent="0.25">
      <c r="A14" s="174">
        <v>7</v>
      </c>
      <c r="B14" s="174" t="s">
        <v>182</v>
      </c>
      <c r="C14" s="174">
        <v>17.399999999999999</v>
      </c>
      <c r="D14" s="174">
        <v>8.1</v>
      </c>
      <c r="E14" s="174">
        <f t="shared" si="0"/>
        <v>12.75</v>
      </c>
      <c r="F14" s="183">
        <v>-34</v>
      </c>
      <c r="G14" s="174">
        <f>6.4+0.09*8</f>
        <v>7.12</v>
      </c>
      <c r="H14" s="174">
        <f t="shared" si="1"/>
        <v>1.48571762018992</v>
      </c>
      <c r="I14" s="184">
        <v>1.47</v>
      </c>
      <c r="J14" s="185">
        <f t="shared" si="2"/>
        <v>1.0692258632598685E-2</v>
      </c>
      <c r="K14" s="399"/>
      <c r="L14" s="399"/>
      <c r="M14" s="400"/>
    </row>
    <row r="15" spans="1:13" x14ac:dyDescent="0.25">
      <c r="A15" s="174">
        <v>8</v>
      </c>
      <c r="B15" s="174" t="s">
        <v>182</v>
      </c>
      <c r="C15" s="174">
        <v>16.7</v>
      </c>
      <c r="D15" s="174">
        <v>9.1999999999999993</v>
      </c>
      <c r="E15" s="174">
        <f t="shared" si="0"/>
        <v>12.95</v>
      </c>
      <c r="F15" s="183">
        <v>-34</v>
      </c>
      <c r="G15" s="174">
        <f>6.4+0.09*7</f>
        <v>7.03</v>
      </c>
      <c r="H15" s="174">
        <f t="shared" si="1"/>
        <v>1.3262048733370795</v>
      </c>
      <c r="I15" s="184">
        <v>1.25</v>
      </c>
      <c r="J15" s="185">
        <f t="shared" si="2"/>
        <v>6.0963898669663584E-2</v>
      </c>
      <c r="K15" s="399"/>
      <c r="L15" s="399"/>
      <c r="M15" s="400"/>
    </row>
    <row r="16" spans="1:13" x14ac:dyDescent="0.25">
      <c r="A16" s="174">
        <v>9</v>
      </c>
      <c r="B16" s="174" t="s">
        <v>182</v>
      </c>
      <c r="C16" s="174">
        <v>9.6</v>
      </c>
      <c r="D16" s="174">
        <v>0</v>
      </c>
      <c r="E16" s="174">
        <f t="shared" si="0"/>
        <v>4.8</v>
      </c>
      <c r="F16" s="183">
        <v>-34</v>
      </c>
      <c r="G16" s="174">
        <f>6.4+0.09*6</f>
        <v>6.94</v>
      </c>
      <c r="H16" s="174">
        <f t="shared" si="1"/>
        <v>1.0781505694025193</v>
      </c>
      <c r="I16" s="184">
        <v>1.17</v>
      </c>
      <c r="J16" s="185">
        <f t="shared" si="2"/>
        <v>7.8503786835453532E-2</v>
      </c>
      <c r="K16" s="399">
        <f>SUM(H16:H22)</f>
        <v>7.9511618231941998</v>
      </c>
      <c r="L16" s="399">
        <f>SUM(I16:I22)</f>
        <v>7.85</v>
      </c>
      <c r="M16" s="400">
        <f t="shared" ref="M16" si="4">ABS(K16-L16)/L16</f>
        <v>1.2886856457859898E-2</v>
      </c>
    </row>
    <row r="17" spans="1:13" x14ac:dyDescent="0.25">
      <c r="A17" s="174">
        <v>10</v>
      </c>
      <c r="B17" s="174" t="s">
        <v>182</v>
      </c>
      <c r="C17" s="174">
        <v>11.5</v>
      </c>
      <c r="D17" s="174">
        <v>5.2</v>
      </c>
      <c r="E17" s="174">
        <f t="shared" si="0"/>
        <v>8.35</v>
      </c>
      <c r="F17" s="183">
        <v>-34</v>
      </c>
      <c r="G17" s="174">
        <f>6.4+0.09*5</f>
        <v>6.8500000000000005</v>
      </c>
      <c r="H17" s="174">
        <f t="shared" si="1"/>
        <v>1.0024590615072737</v>
      </c>
      <c r="I17" s="184">
        <v>0.8</v>
      </c>
      <c r="J17" s="185">
        <f t="shared" si="2"/>
        <v>0.25307382688409208</v>
      </c>
      <c r="K17" s="399"/>
      <c r="L17" s="399"/>
      <c r="M17" s="400"/>
    </row>
    <row r="18" spans="1:13" x14ac:dyDescent="0.25">
      <c r="A18" s="174">
        <v>11</v>
      </c>
      <c r="B18" s="174" t="s">
        <v>182</v>
      </c>
      <c r="C18" s="174">
        <v>11.4</v>
      </c>
      <c r="D18" s="174">
        <v>4.5</v>
      </c>
      <c r="E18" s="174">
        <f t="shared" si="0"/>
        <v>7.95</v>
      </c>
      <c r="F18" s="183">
        <v>-34</v>
      </c>
      <c r="G18" s="174">
        <f>6.4+0.09*4</f>
        <v>6.7600000000000007</v>
      </c>
      <c r="H18" s="174">
        <f t="shared" si="1"/>
        <v>1.018989308470037</v>
      </c>
      <c r="I18" s="184">
        <v>0.97</v>
      </c>
      <c r="J18" s="185">
        <f t="shared" si="2"/>
        <v>5.0504441721687651E-2</v>
      </c>
      <c r="K18" s="399"/>
      <c r="L18" s="399"/>
      <c r="M18" s="400"/>
    </row>
    <row r="19" spans="1:13" x14ac:dyDescent="0.25">
      <c r="A19" s="174">
        <v>12</v>
      </c>
      <c r="B19" s="174" t="s">
        <v>182</v>
      </c>
      <c r="C19" s="174">
        <v>11.9</v>
      </c>
      <c r="D19" s="174">
        <v>4.5999999999999996</v>
      </c>
      <c r="E19" s="174">
        <f t="shared" si="0"/>
        <v>8.25</v>
      </c>
      <c r="F19" s="183">
        <v>-34</v>
      </c>
      <c r="G19" s="174">
        <f>6.4+0.09*3</f>
        <v>6.67</v>
      </c>
      <c r="H19" s="174">
        <f t="shared" si="1"/>
        <v>1.0465897629656313</v>
      </c>
      <c r="I19" s="184">
        <v>0.85</v>
      </c>
      <c r="J19" s="185">
        <f t="shared" si="2"/>
        <v>0.23128207407721335</v>
      </c>
      <c r="K19" s="399"/>
      <c r="L19" s="399"/>
      <c r="M19" s="400"/>
    </row>
    <row r="20" spans="1:13" x14ac:dyDescent="0.25">
      <c r="A20" s="174">
        <v>13</v>
      </c>
      <c r="B20" s="174" t="s">
        <v>182</v>
      </c>
      <c r="C20" s="174">
        <v>10.7</v>
      </c>
      <c r="D20" s="174">
        <v>2.4</v>
      </c>
      <c r="E20" s="174">
        <f t="shared" si="0"/>
        <v>6.55</v>
      </c>
      <c r="F20" s="183">
        <v>-34</v>
      </c>
      <c r="G20" s="174">
        <f>6.4+0.09*2</f>
        <v>6.58</v>
      </c>
      <c r="H20" s="174">
        <f t="shared" si="1"/>
        <v>1.0267948630752235</v>
      </c>
      <c r="I20" s="184">
        <v>0.81</v>
      </c>
      <c r="J20" s="185">
        <f t="shared" si="2"/>
        <v>0.2676479791052141</v>
      </c>
      <c r="K20" s="399"/>
      <c r="L20" s="399"/>
      <c r="M20" s="400"/>
    </row>
    <row r="21" spans="1:13" x14ac:dyDescent="0.25">
      <c r="A21" s="174">
        <v>14</v>
      </c>
      <c r="B21" s="174" t="s">
        <v>182</v>
      </c>
      <c r="C21" s="174">
        <v>11.9</v>
      </c>
      <c r="D21" s="174">
        <v>0.1</v>
      </c>
      <c r="E21" s="174">
        <f t="shared" si="0"/>
        <v>6</v>
      </c>
      <c r="F21" s="183">
        <v>-34</v>
      </c>
      <c r="G21" s="174">
        <f>6.4+0.09*1</f>
        <v>6.49</v>
      </c>
      <c r="H21" s="174">
        <f t="shared" si="1"/>
        <v>1.1793463641711879</v>
      </c>
      <c r="I21" s="184">
        <v>0.66</v>
      </c>
      <c r="J21" s="185">
        <f t="shared" si="2"/>
        <v>0.78688843056240576</v>
      </c>
      <c r="K21" s="399"/>
      <c r="L21" s="399"/>
      <c r="M21" s="400"/>
    </row>
    <row r="22" spans="1:13" x14ac:dyDescent="0.25">
      <c r="A22" s="174">
        <v>15</v>
      </c>
      <c r="B22" s="174" t="s">
        <v>182</v>
      </c>
      <c r="C22" s="174">
        <v>18.3</v>
      </c>
      <c r="D22" s="174">
        <v>2.7</v>
      </c>
      <c r="E22" s="174">
        <f t="shared" si="0"/>
        <v>10.5</v>
      </c>
      <c r="F22" s="183">
        <v>-34</v>
      </c>
      <c r="G22" s="174">
        <f>6.4</f>
        <v>6.4</v>
      </c>
      <c r="H22" s="174">
        <f t="shared" si="1"/>
        <v>1.5988318936023265</v>
      </c>
      <c r="I22" s="184">
        <v>2.59</v>
      </c>
      <c r="J22" s="185">
        <f t="shared" si="2"/>
        <v>0.38269038857053028</v>
      </c>
      <c r="K22" s="399"/>
      <c r="L22" s="399"/>
      <c r="M22" s="400"/>
    </row>
    <row r="23" spans="1:13" x14ac:dyDescent="0.25">
      <c r="A23" s="174">
        <v>16</v>
      </c>
      <c r="B23" s="174" t="s">
        <v>182</v>
      </c>
      <c r="C23" s="174">
        <v>19.600000000000001</v>
      </c>
      <c r="D23" s="174">
        <v>13.6</v>
      </c>
      <c r="E23" s="174">
        <f t="shared" si="0"/>
        <v>16.600000000000001</v>
      </c>
      <c r="F23" s="183">
        <v>-34</v>
      </c>
      <c r="G23" s="174">
        <f>6.4-0.09*1</f>
        <v>6.3100000000000005</v>
      </c>
      <c r="H23" s="174">
        <f t="shared" si="1"/>
        <v>1.1944613398036124</v>
      </c>
      <c r="I23" s="184">
        <v>4.53</v>
      </c>
      <c r="J23" s="185">
        <f t="shared" si="2"/>
        <v>0.73632200004335269</v>
      </c>
      <c r="K23" s="399">
        <f>SUM(H23:H29)</f>
        <v>6.6192570490228038</v>
      </c>
      <c r="L23" s="399">
        <f>SUM(I23:I29)</f>
        <v>10.85</v>
      </c>
      <c r="M23" s="400">
        <f t="shared" ref="M23" si="5">ABS(K23-L23)/L23</f>
        <v>0.38993022589651577</v>
      </c>
    </row>
    <row r="24" spans="1:13" x14ac:dyDescent="0.25">
      <c r="A24" s="174">
        <v>17</v>
      </c>
      <c r="B24" s="174" t="s">
        <v>182</v>
      </c>
      <c r="C24" s="174">
        <v>15.6</v>
      </c>
      <c r="D24" s="174">
        <v>7.6</v>
      </c>
      <c r="E24" s="174">
        <f t="shared" si="0"/>
        <v>11.6</v>
      </c>
      <c r="F24" s="183">
        <v>-34</v>
      </c>
      <c r="G24" s="174">
        <f>6.4-0.09*2</f>
        <v>6.2200000000000006</v>
      </c>
      <c r="H24" s="174">
        <f t="shared" si="1"/>
        <v>1.1572554835733035</v>
      </c>
      <c r="I24" s="184">
        <v>1.24</v>
      </c>
      <c r="J24" s="185">
        <f t="shared" si="2"/>
        <v>6.6729448731206814E-2</v>
      </c>
      <c r="K24" s="399"/>
      <c r="L24" s="399"/>
      <c r="M24" s="400"/>
    </row>
    <row r="25" spans="1:13" x14ac:dyDescent="0.25">
      <c r="A25" s="174">
        <v>18</v>
      </c>
      <c r="B25" s="174" t="s">
        <v>182</v>
      </c>
      <c r="C25" s="174">
        <v>14.5</v>
      </c>
      <c r="D25" s="174">
        <v>4.7</v>
      </c>
      <c r="E25" s="174">
        <f t="shared" si="0"/>
        <v>9.6</v>
      </c>
      <c r="F25" s="183">
        <v>-34</v>
      </c>
      <c r="G25" s="174">
        <f>6.4-0.09*3</f>
        <v>6.1300000000000008</v>
      </c>
      <c r="H25" s="174">
        <f t="shared" si="1"/>
        <v>1.1740402467260176</v>
      </c>
      <c r="I25" s="184">
        <v>1.46</v>
      </c>
      <c r="J25" s="185">
        <f t="shared" si="2"/>
        <v>0.19586284470820711</v>
      </c>
      <c r="K25" s="399"/>
      <c r="L25" s="399"/>
      <c r="M25" s="400"/>
    </row>
    <row r="26" spans="1:13" x14ac:dyDescent="0.25">
      <c r="A26" s="174">
        <v>19</v>
      </c>
      <c r="B26" s="174" t="s">
        <v>182</v>
      </c>
      <c r="C26" s="174">
        <v>15.1</v>
      </c>
      <c r="D26" s="174">
        <v>6.4</v>
      </c>
      <c r="E26" s="174">
        <f t="shared" si="0"/>
        <v>10.75</v>
      </c>
      <c r="F26" s="183">
        <v>-34</v>
      </c>
      <c r="G26" s="174">
        <f>6.4-0.09*4</f>
        <v>6.04</v>
      </c>
      <c r="H26" s="174">
        <f t="shared" si="1"/>
        <v>1.1370704895380495</v>
      </c>
      <c r="I26" s="184">
        <v>1.18</v>
      </c>
      <c r="J26" s="185">
        <f t="shared" si="2"/>
        <v>3.6380941069449564E-2</v>
      </c>
      <c r="K26" s="399"/>
      <c r="L26" s="399"/>
      <c r="M26" s="400"/>
    </row>
    <row r="27" spans="1:13" x14ac:dyDescent="0.25">
      <c r="A27" s="174">
        <v>20</v>
      </c>
      <c r="B27" s="174" t="s">
        <v>182</v>
      </c>
      <c r="C27" s="174">
        <v>12.3</v>
      </c>
      <c r="D27" s="174">
        <v>9.4</v>
      </c>
      <c r="E27" s="174">
        <f t="shared" si="0"/>
        <v>10.850000000000001</v>
      </c>
      <c r="F27" s="183">
        <v>-34</v>
      </c>
      <c r="G27" s="174">
        <f>6.4-0.09*5</f>
        <v>5.95</v>
      </c>
      <c r="H27" s="174">
        <f t="shared" si="1"/>
        <v>0.64903631948330243</v>
      </c>
      <c r="I27" s="184">
        <v>0.76</v>
      </c>
      <c r="J27" s="185">
        <f t="shared" si="2"/>
        <v>0.1460048427851284</v>
      </c>
      <c r="K27" s="399"/>
      <c r="L27" s="399"/>
      <c r="M27" s="400"/>
    </row>
    <row r="28" spans="1:13" x14ac:dyDescent="0.25">
      <c r="A28" s="174">
        <v>21</v>
      </c>
      <c r="B28" s="174" t="s">
        <v>182</v>
      </c>
      <c r="C28" s="174">
        <v>11.6</v>
      </c>
      <c r="D28" s="174">
        <v>9.3000000000000007</v>
      </c>
      <c r="E28" s="174">
        <f t="shared" si="0"/>
        <v>10.45</v>
      </c>
      <c r="F28" s="183">
        <v>-34</v>
      </c>
      <c r="G28" s="174">
        <f>6.4-0.09*6</f>
        <v>5.86</v>
      </c>
      <c r="H28" s="174">
        <f t="shared" si="1"/>
        <v>0.56108895383974799</v>
      </c>
      <c r="I28" s="184">
        <v>0.73</v>
      </c>
      <c r="J28" s="185">
        <f t="shared" si="2"/>
        <v>0.23138499474007121</v>
      </c>
      <c r="K28" s="399"/>
      <c r="L28" s="399"/>
      <c r="M28" s="400"/>
    </row>
    <row r="29" spans="1:13" x14ac:dyDescent="0.25">
      <c r="A29" s="174">
        <v>22</v>
      </c>
      <c r="B29" s="174" t="s">
        <v>182</v>
      </c>
      <c r="C29" s="174">
        <v>9.9</v>
      </c>
      <c r="D29" s="174">
        <v>4.5</v>
      </c>
      <c r="E29" s="174">
        <f t="shared" si="0"/>
        <v>7.2</v>
      </c>
      <c r="F29" s="183">
        <v>-34</v>
      </c>
      <c r="G29" s="174">
        <f>6.4-0.09*7</f>
        <v>5.7700000000000005</v>
      </c>
      <c r="H29" s="174">
        <f t="shared" si="1"/>
        <v>0.74630421605877051</v>
      </c>
      <c r="I29" s="184">
        <v>0.95</v>
      </c>
      <c r="J29" s="185">
        <f t="shared" si="2"/>
        <v>0.21441661467497838</v>
      </c>
      <c r="K29" s="399"/>
      <c r="L29" s="399"/>
      <c r="M29" s="400"/>
    </row>
    <row r="30" spans="1:13" x14ac:dyDescent="0.25">
      <c r="A30" s="174">
        <v>23</v>
      </c>
      <c r="B30" s="174" t="s">
        <v>182</v>
      </c>
      <c r="C30" s="174">
        <v>7.1</v>
      </c>
      <c r="D30" s="174">
        <v>4.5999999999999996</v>
      </c>
      <c r="E30" s="174">
        <f t="shared" si="0"/>
        <v>5.85</v>
      </c>
      <c r="F30" s="183">
        <v>-34</v>
      </c>
      <c r="G30" s="174">
        <f>6.4-0.09*8</f>
        <v>5.6800000000000006</v>
      </c>
      <c r="H30" s="174">
        <f t="shared" si="1"/>
        <v>0.47198954690162381</v>
      </c>
      <c r="I30" s="184">
        <v>0.54</v>
      </c>
      <c r="J30" s="185">
        <f>ABS(H30-I30)/I30</f>
        <v>0.12594528351551151</v>
      </c>
      <c r="K30" s="402">
        <f>SUM(K2:K29)</f>
        <v>32.116144098156418</v>
      </c>
      <c r="L30" s="402">
        <f>SUM(L2:L29)</f>
        <v>33.519999999999996</v>
      </c>
      <c r="M30" s="400">
        <f>ABS(K30-L30)/L30</f>
        <v>4.1881142656431322E-2</v>
      </c>
    </row>
    <row r="31" spans="1:13" x14ac:dyDescent="0.25">
      <c r="A31" s="174">
        <v>24</v>
      </c>
      <c r="B31" s="174" t="s">
        <v>182</v>
      </c>
      <c r="C31" s="174">
        <v>6.7</v>
      </c>
      <c r="D31" s="174">
        <v>4.8</v>
      </c>
      <c r="E31" s="174">
        <f t="shared" si="0"/>
        <v>5.75</v>
      </c>
      <c r="F31" s="183">
        <v>-34</v>
      </c>
      <c r="G31" s="174">
        <f>6.4-0.09*9</f>
        <v>5.5900000000000007</v>
      </c>
      <c r="H31" s="174"/>
      <c r="I31" s="184"/>
      <c r="J31" s="185"/>
      <c r="K31" s="402"/>
      <c r="L31" s="402"/>
      <c r="M31" s="400"/>
    </row>
    <row r="32" spans="1:13" x14ac:dyDescent="0.25">
      <c r="A32" s="186"/>
      <c r="B32" s="186"/>
      <c r="C32" s="186"/>
      <c r="D32" s="186"/>
      <c r="E32" s="186"/>
      <c r="F32" s="186"/>
      <c r="G32" s="186"/>
      <c r="H32" s="187">
        <f>SUM(H2:H31)</f>
        <v>32.588133645058051</v>
      </c>
      <c r="I32" s="188">
        <f>SUM(I2:I31)</f>
        <v>34.06</v>
      </c>
      <c r="J32" s="185">
        <f t="shared" si="2"/>
        <v>4.3213927038812439E-2</v>
      </c>
      <c r="K32" s="402"/>
      <c r="L32" s="402"/>
      <c r="M32" s="400"/>
    </row>
    <row r="33" spans="1:13" x14ac:dyDescent="0.25">
      <c r="A33" s="186"/>
      <c r="B33" s="186"/>
      <c r="C33" s="186"/>
      <c r="D33" s="186"/>
      <c r="E33" s="186"/>
      <c r="F33" s="186"/>
      <c r="G33" s="186"/>
      <c r="H33" s="174">
        <f>AVERAGE(H2:H31)</f>
        <v>1.1237287463813121</v>
      </c>
      <c r="I33" s="174">
        <f>AVERAGE(I2:I31)</f>
        <v>1.1744827586206896</v>
      </c>
      <c r="J33" s="181"/>
      <c r="K33" s="402"/>
      <c r="L33" s="402"/>
      <c r="M33" s="400"/>
    </row>
    <row r="35" spans="1:13" x14ac:dyDescent="0.25">
      <c r="K35" s="191">
        <f>K30-L30</f>
        <v>-1.4038559018435777</v>
      </c>
      <c r="M35" s="190">
        <f>AVERAGE(M2:M29)</f>
        <v>0.19173424554185331</v>
      </c>
    </row>
    <row r="65" spans="8:10" x14ac:dyDescent="0.25">
      <c r="H65" t="s">
        <v>215</v>
      </c>
      <c r="I65" t="s">
        <v>221</v>
      </c>
      <c r="J65" t="s">
        <v>261</v>
      </c>
    </row>
    <row r="66" spans="8:10" x14ac:dyDescent="0.25">
      <c r="H66">
        <v>0.92478583871683517</v>
      </c>
      <c r="I66">
        <v>0.9</v>
      </c>
      <c r="J66">
        <v>0.83332350301956581</v>
      </c>
    </row>
    <row r="67" spans="8:10" x14ac:dyDescent="0.25">
      <c r="H67">
        <v>1.1374145114785661</v>
      </c>
      <c r="I67">
        <v>1.06</v>
      </c>
      <c r="J67">
        <v>1.0136738118781505</v>
      </c>
    </row>
    <row r="68" spans="8:10" x14ac:dyDescent="0.25">
      <c r="H68">
        <v>1.2654853336904384</v>
      </c>
      <c r="I68">
        <v>1.5</v>
      </c>
      <c r="J68">
        <v>1.1152958655161884</v>
      </c>
    </row>
    <row r="69" spans="8:10" x14ac:dyDescent="0.25">
      <c r="H69">
        <v>1.3543664161357607</v>
      </c>
      <c r="I69">
        <v>1.05</v>
      </c>
      <c r="J69">
        <v>1.1802335912040203</v>
      </c>
    </row>
    <row r="70" spans="8:10" x14ac:dyDescent="0.25">
      <c r="H70">
        <v>1.4331680525906234</v>
      </c>
      <c r="I70">
        <v>0.97</v>
      </c>
      <c r="J70">
        <v>1.2347293991549988</v>
      </c>
    </row>
    <row r="71" spans="8:10" x14ac:dyDescent="0.25">
      <c r="H71">
        <v>1.4501848215226483</v>
      </c>
      <c r="I71">
        <v>0.81</v>
      </c>
      <c r="J71">
        <v>1.2350475128352223</v>
      </c>
    </row>
    <row r="72" spans="8:10" x14ac:dyDescent="0.25">
      <c r="H72">
        <v>1.6391341225766729</v>
      </c>
      <c r="I72">
        <v>0.94</v>
      </c>
      <c r="J72">
        <v>1.3797546570260788</v>
      </c>
    </row>
    <row r="73" spans="8:10" x14ac:dyDescent="0.25">
      <c r="H73">
        <v>1.4098650587024275</v>
      </c>
      <c r="I73">
        <v>0.85</v>
      </c>
      <c r="J73">
        <v>1.1728218125689425</v>
      </c>
    </row>
    <row r="74" spans="8:10" x14ac:dyDescent="0.25">
      <c r="H74">
        <v>1.1080399946572326</v>
      </c>
      <c r="I74">
        <v>0.81</v>
      </c>
      <c r="J74">
        <v>1.2950217437556408</v>
      </c>
    </row>
    <row r="75" spans="8:10" x14ac:dyDescent="0.25">
      <c r="H75">
        <v>1.227511978075978</v>
      </c>
      <c r="I75">
        <v>0.97</v>
      </c>
      <c r="J75">
        <v>1.4173927371846058</v>
      </c>
    </row>
    <row r="76" spans="8:10" x14ac:dyDescent="0.25">
      <c r="H76">
        <v>1.1259074597226899</v>
      </c>
      <c r="I76">
        <v>1.04</v>
      </c>
      <c r="J76">
        <v>1.2842381962461933</v>
      </c>
    </row>
    <row r="77" spans="8:10" x14ac:dyDescent="0.25">
      <c r="H77">
        <v>1.3956348644862668</v>
      </c>
      <c r="I77">
        <v>1.2</v>
      </c>
      <c r="J77">
        <v>1.5722699020228099</v>
      </c>
    </row>
    <row r="78" spans="8:10" x14ac:dyDescent="0.25">
      <c r="H78">
        <v>1.3354765125302654</v>
      </c>
      <c r="I78">
        <v>1.47</v>
      </c>
      <c r="J78">
        <v>1.48571762018992</v>
      </c>
    </row>
    <row r="79" spans="8:10" x14ac:dyDescent="0.25">
      <c r="H79">
        <v>1.2073557879597878</v>
      </c>
      <c r="I79">
        <v>1.25</v>
      </c>
      <c r="J79">
        <v>1.3262048733370795</v>
      </c>
    </row>
    <row r="80" spans="8:10" x14ac:dyDescent="0.25">
      <c r="H80">
        <v>0.99425989109166046</v>
      </c>
      <c r="I80">
        <v>1.17</v>
      </c>
      <c r="J80">
        <v>1.0781505694025193</v>
      </c>
    </row>
    <row r="81" spans="8:10" x14ac:dyDescent="0.25">
      <c r="H81">
        <v>0.93660408666373018</v>
      </c>
      <c r="I81">
        <v>0.8</v>
      </c>
      <c r="J81">
        <v>1.0024590615072737</v>
      </c>
    </row>
    <row r="82" spans="8:10" x14ac:dyDescent="0.25">
      <c r="H82">
        <v>0.96472360565210602</v>
      </c>
      <c r="I82">
        <v>0.97</v>
      </c>
      <c r="J82">
        <v>1.018989308470037</v>
      </c>
    </row>
    <row r="83" spans="8:10" x14ac:dyDescent="0.25">
      <c r="H83">
        <v>1.0042240604167976</v>
      </c>
      <c r="I83">
        <v>0.85</v>
      </c>
      <c r="J83">
        <v>1.0465897629656313</v>
      </c>
    </row>
    <row r="84" spans="8:10" x14ac:dyDescent="0.25">
      <c r="H84">
        <v>0.99870624979960954</v>
      </c>
      <c r="I84">
        <v>0.81</v>
      </c>
      <c r="J84">
        <v>1.0267948630752235</v>
      </c>
    </row>
    <row r="85" spans="8:10" x14ac:dyDescent="0.25">
      <c r="H85">
        <v>1.162991792094854</v>
      </c>
      <c r="I85">
        <v>0.66</v>
      </c>
      <c r="J85">
        <v>1.1793463641711879</v>
      </c>
    </row>
    <row r="86" spans="8:10" x14ac:dyDescent="0.25">
      <c r="H86">
        <v>1.5988318936023265</v>
      </c>
      <c r="I86">
        <v>2.59</v>
      </c>
      <c r="J86">
        <v>1.5988318936023265</v>
      </c>
    </row>
    <row r="87" spans="8:10" x14ac:dyDescent="0.25">
      <c r="H87">
        <v>1.2114980308626178</v>
      </c>
      <c r="I87">
        <v>4.53</v>
      </c>
      <c r="J87">
        <v>1.1944613398036124</v>
      </c>
    </row>
    <row r="88" spans="8:10" x14ac:dyDescent="0.25">
      <c r="H88">
        <v>1.1907451921011483</v>
      </c>
      <c r="I88">
        <v>1.24</v>
      </c>
      <c r="J88">
        <v>1.1572554835733035</v>
      </c>
    </row>
    <row r="89" spans="8:10" x14ac:dyDescent="0.25">
      <c r="H89">
        <v>1.2257516442163969</v>
      </c>
      <c r="I89">
        <v>1.46</v>
      </c>
      <c r="J89">
        <v>1.1740402467260176</v>
      </c>
    </row>
    <row r="90" spans="8:10" x14ac:dyDescent="0.25">
      <c r="H90">
        <v>1.2048429028217742</v>
      </c>
      <c r="I90">
        <v>1.18</v>
      </c>
      <c r="J90">
        <v>1.1370704895380495</v>
      </c>
    </row>
    <row r="91" spans="8:10" x14ac:dyDescent="0.25">
      <c r="H91">
        <v>0.69812309994842614</v>
      </c>
      <c r="I91">
        <v>0.76</v>
      </c>
      <c r="J91">
        <v>0.64903631948330243</v>
      </c>
    </row>
    <row r="92" spans="8:10" x14ac:dyDescent="0.25">
      <c r="H92">
        <v>0.61279339668504895</v>
      </c>
      <c r="I92">
        <v>0.73</v>
      </c>
      <c r="J92">
        <v>0.56108895383974799</v>
      </c>
    </row>
    <row r="93" spans="8:10" x14ac:dyDescent="0.25">
      <c r="H93">
        <v>0.82778977171163448</v>
      </c>
      <c r="I93">
        <v>0.95</v>
      </c>
      <c r="J93">
        <v>0.74630421605877051</v>
      </c>
    </row>
    <row r="94" spans="8:10" x14ac:dyDescent="0.25">
      <c r="H94">
        <v>0.53181920777647751</v>
      </c>
      <c r="I94">
        <v>0.54</v>
      </c>
      <c r="J94">
        <v>0.47198954690162381</v>
      </c>
    </row>
  </sheetData>
  <mergeCells count="15">
    <mergeCell ref="K2:K8"/>
    <mergeCell ref="L2:L8"/>
    <mergeCell ref="M2:M8"/>
    <mergeCell ref="K9:K15"/>
    <mergeCell ref="L9:L15"/>
    <mergeCell ref="M9:M15"/>
    <mergeCell ref="K30:K33"/>
    <mergeCell ref="L30:L33"/>
    <mergeCell ref="M30:M33"/>
    <mergeCell ref="K16:K22"/>
    <mergeCell ref="L16:L22"/>
    <mergeCell ref="M16:M22"/>
    <mergeCell ref="K23:K29"/>
    <mergeCell ref="L23:L29"/>
    <mergeCell ref="M23:M29"/>
  </mergeCells>
  <conditionalFormatting sqref="J34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5" operator="greaterThan">
      <formula>0.5</formula>
    </cfRule>
  </conditionalFormatting>
  <conditionalFormatting sqref="G38">
    <cfRule type="cellIs" dxfId="1" priority="4" operator="greaterThan">
      <formula>0.25</formula>
    </cfRule>
  </conditionalFormatting>
  <conditionalFormatting sqref="J34:J1048576 M34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590C-F5C1-4267-A7D7-DDA5FE6BDA08}">
  <dimension ref="A1:Q31"/>
  <sheetViews>
    <sheetView workbookViewId="0">
      <selection activeCell="F6" sqref="A6:F6"/>
    </sheetView>
  </sheetViews>
  <sheetFormatPr baseColWidth="10" defaultRowHeight="15" x14ac:dyDescent="0.25"/>
  <cols>
    <col min="10" max="10" width="9.85546875" customWidth="1"/>
    <col min="11" max="11" width="10.140625" bestFit="1" customWidth="1"/>
    <col min="12" max="12" width="9.7109375" bestFit="1" customWidth="1"/>
    <col min="13" max="13" width="8.7109375" bestFit="1" customWidth="1"/>
    <col min="14" max="14" width="7.140625" bestFit="1" customWidth="1"/>
    <col min="15" max="15" width="10.5703125" bestFit="1" customWidth="1"/>
    <col min="16" max="16" width="18.85546875" bestFit="1" customWidth="1"/>
    <col min="17" max="17" width="11.85546875" bestFit="1" customWidth="1"/>
  </cols>
  <sheetData>
    <row r="1" spans="1:17" x14ac:dyDescent="0.25">
      <c r="A1" s="3"/>
      <c r="B1" s="3" t="s">
        <v>249</v>
      </c>
      <c r="C1" s="3" t="s">
        <v>246</v>
      </c>
      <c r="D1" s="3" t="s">
        <v>247</v>
      </c>
      <c r="E1" s="3" t="s">
        <v>248</v>
      </c>
      <c r="F1" s="3"/>
      <c r="G1" s="3" t="s">
        <v>250</v>
      </c>
    </row>
    <row r="2" spans="1:17" x14ac:dyDescent="0.25">
      <c r="A2" s="3">
        <v>14</v>
      </c>
      <c r="B2" s="3">
        <v>1</v>
      </c>
      <c r="C2" s="3"/>
      <c r="D2" s="3">
        <f t="shared" ref="D2:D14" si="0">7.8+(0.083*A2)</f>
        <v>8.9619999999999997</v>
      </c>
      <c r="E2" s="3">
        <f t="shared" ref="E2:E14" si="1">6.6+(A2*0.04)</f>
        <v>7.16</v>
      </c>
      <c r="F2" s="3"/>
      <c r="G2" s="3" t="s">
        <v>251</v>
      </c>
    </row>
    <row r="3" spans="1:17" x14ac:dyDescent="0.25">
      <c r="A3" s="3">
        <v>13</v>
      </c>
      <c r="B3" s="3">
        <v>2</v>
      </c>
      <c r="C3" s="3"/>
      <c r="D3" s="3">
        <f t="shared" si="0"/>
        <v>8.8789999999999996</v>
      </c>
      <c r="E3" s="3">
        <f t="shared" si="1"/>
        <v>7.1199999999999992</v>
      </c>
      <c r="F3" s="3"/>
      <c r="G3" s="404">
        <f>AVERAGE(D3:D9)</f>
        <v>8.629999999999999</v>
      </c>
    </row>
    <row r="4" spans="1:17" x14ac:dyDescent="0.25">
      <c r="A4" s="3">
        <v>12</v>
      </c>
      <c r="B4" s="3">
        <v>3</v>
      </c>
      <c r="C4" s="3"/>
      <c r="D4" s="3">
        <f t="shared" si="0"/>
        <v>8.7959999999999994</v>
      </c>
      <c r="E4" s="3">
        <f t="shared" si="1"/>
        <v>7.08</v>
      </c>
      <c r="F4" s="3"/>
      <c r="G4" s="404"/>
      <c r="I4" s="171" t="s">
        <v>254</v>
      </c>
      <c r="J4" s="171" t="s">
        <v>12</v>
      </c>
      <c r="K4" s="172" t="s">
        <v>184</v>
      </c>
      <c r="L4" s="172" t="s">
        <v>185</v>
      </c>
      <c r="M4" s="172" t="s">
        <v>187</v>
      </c>
      <c r="N4" s="171" t="s">
        <v>31</v>
      </c>
      <c r="O4" s="171" t="s">
        <v>178</v>
      </c>
      <c r="P4" s="173" t="s">
        <v>215</v>
      </c>
      <c r="Q4" s="3" t="s">
        <v>255</v>
      </c>
    </row>
    <row r="5" spans="1:17" x14ac:dyDescent="0.25">
      <c r="A5" s="3">
        <v>11</v>
      </c>
      <c r="B5" s="3">
        <v>4</v>
      </c>
      <c r="C5" s="3"/>
      <c r="D5" s="3">
        <f t="shared" si="0"/>
        <v>8.7129999999999992</v>
      </c>
      <c r="E5" s="3">
        <f t="shared" si="1"/>
        <v>7.04</v>
      </c>
      <c r="F5" s="3"/>
      <c r="G5" s="404"/>
      <c r="I5" s="3" t="s">
        <v>252</v>
      </c>
      <c r="J5" s="32" t="s">
        <v>4</v>
      </c>
      <c r="K5" s="32">
        <v>23.3</v>
      </c>
      <c r="L5" s="32">
        <v>3.7</v>
      </c>
      <c r="M5" s="32">
        <f>AVERAGE(K5:L5)</f>
        <v>13.5</v>
      </c>
      <c r="N5" s="121">
        <v>-34</v>
      </c>
      <c r="O5" s="170">
        <v>8.6300000000000008</v>
      </c>
      <c r="P5" s="174">
        <f t="shared" ref="P5:P6" si="2">0.0023*(M5+17)*O5*(K5-L5)^0.5</f>
        <v>2.6801957041143285</v>
      </c>
      <c r="Q5" s="403">
        <f>ABS(P5-P6)/P6</f>
        <v>0.10641025641025637</v>
      </c>
    </row>
    <row r="6" spans="1:17" x14ac:dyDescent="0.25">
      <c r="A6" s="3">
        <v>10</v>
      </c>
      <c r="B6" s="3">
        <v>5</v>
      </c>
      <c r="C6" s="3"/>
      <c r="D6" s="3">
        <f t="shared" si="0"/>
        <v>8.629999999999999</v>
      </c>
      <c r="E6" s="3">
        <f t="shared" si="1"/>
        <v>7</v>
      </c>
      <c r="F6" s="3"/>
      <c r="G6" s="404"/>
      <c r="I6" s="3" t="s">
        <v>253</v>
      </c>
      <c r="J6" s="32" t="s">
        <v>4</v>
      </c>
      <c r="K6" s="32">
        <v>23.3</v>
      </c>
      <c r="L6" s="32">
        <v>3.7</v>
      </c>
      <c r="M6" s="32">
        <f>AVERAGE(K6:L6)</f>
        <v>13.5</v>
      </c>
      <c r="N6" s="121">
        <v>-34</v>
      </c>
      <c r="O6" s="170">
        <v>7.8</v>
      </c>
      <c r="P6" s="174">
        <f t="shared" si="2"/>
        <v>2.4224248542400653</v>
      </c>
      <c r="Q6" s="403"/>
    </row>
    <row r="7" spans="1:17" x14ac:dyDescent="0.25">
      <c r="A7" s="3">
        <v>9</v>
      </c>
      <c r="B7" s="3">
        <v>6</v>
      </c>
      <c r="C7" s="3"/>
      <c r="D7" s="3">
        <f t="shared" si="0"/>
        <v>8.5470000000000006</v>
      </c>
      <c r="E7" s="3">
        <f t="shared" si="1"/>
        <v>6.96</v>
      </c>
      <c r="F7" s="3"/>
      <c r="G7" s="404"/>
      <c r="P7" s="175"/>
    </row>
    <row r="8" spans="1:17" x14ac:dyDescent="0.25">
      <c r="A8" s="3">
        <v>8</v>
      </c>
      <c r="B8" s="3">
        <v>7</v>
      </c>
      <c r="C8" s="3"/>
      <c r="D8" s="3">
        <f t="shared" si="0"/>
        <v>8.4640000000000004</v>
      </c>
      <c r="E8" s="3">
        <f t="shared" si="1"/>
        <v>6.92</v>
      </c>
      <c r="F8" s="3"/>
      <c r="G8" s="404"/>
      <c r="P8" s="175"/>
    </row>
    <row r="9" spans="1:17" x14ac:dyDescent="0.25">
      <c r="A9" s="3">
        <v>7</v>
      </c>
      <c r="B9" s="3">
        <v>8</v>
      </c>
      <c r="C9" s="3"/>
      <c r="D9" s="3">
        <f t="shared" si="0"/>
        <v>8.3810000000000002</v>
      </c>
      <c r="E9" s="3">
        <f t="shared" si="1"/>
        <v>6.88</v>
      </c>
      <c r="F9" s="3"/>
      <c r="G9" s="404"/>
      <c r="P9" s="175"/>
    </row>
    <row r="10" spans="1:17" x14ac:dyDescent="0.25">
      <c r="A10" s="3">
        <v>6</v>
      </c>
      <c r="B10" s="3">
        <v>9</v>
      </c>
      <c r="C10" s="3"/>
      <c r="D10" s="3">
        <f t="shared" si="0"/>
        <v>8.298</v>
      </c>
      <c r="E10" s="3">
        <f t="shared" si="1"/>
        <v>6.84</v>
      </c>
      <c r="F10" s="3"/>
      <c r="G10" s="404">
        <f t="shared" ref="G10" si="3">AVERAGE(D10:D16)</f>
        <v>8.0489999999999995</v>
      </c>
      <c r="P10" s="175"/>
    </row>
    <row r="11" spans="1:17" x14ac:dyDescent="0.25">
      <c r="A11" s="3">
        <v>5</v>
      </c>
      <c r="B11" s="3">
        <v>10</v>
      </c>
      <c r="C11" s="3"/>
      <c r="D11" s="3">
        <f t="shared" si="0"/>
        <v>8.2149999999999999</v>
      </c>
      <c r="E11" s="3">
        <f t="shared" si="1"/>
        <v>6.8</v>
      </c>
      <c r="F11" s="3"/>
      <c r="G11" s="404"/>
      <c r="I11" s="171" t="s">
        <v>254</v>
      </c>
      <c r="J11" s="171" t="s">
        <v>12</v>
      </c>
      <c r="K11" s="172" t="s">
        <v>184</v>
      </c>
      <c r="L11" s="172" t="s">
        <v>185</v>
      </c>
      <c r="M11" s="172" t="s">
        <v>187</v>
      </c>
      <c r="N11" s="171" t="s">
        <v>31</v>
      </c>
      <c r="O11" s="171" t="s">
        <v>178</v>
      </c>
      <c r="P11" s="173" t="s">
        <v>215</v>
      </c>
      <c r="Q11" s="3" t="s">
        <v>255</v>
      </c>
    </row>
    <row r="12" spans="1:17" x14ac:dyDescent="0.25">
      <c r="A12" s="3">
        <v>4</v>
      </c>
      <c r="B12" s="3">
        <v>11</v>
      </c>
      <c r="C12" s="3"/>
      <c r="D12" s="3">
        <f t="shared" si="0"/>
        <v>8.1319999999999997</v>
      </c>
      <c r="E12" s="3">
        <f t="shared" si="1"/>
        <v>6.76</v>
      </c>
      <c r="F12" s="3"/>
      <c r="G12" s="404"/>
      <c r="I12" s="3" t="s">
        <v>252</v>
      </c>
      <c r="J12" s="32" t="s">
        <v>4</v>
      </c>
      <c r="K12" s="32">
        <v>23.3</v>
      </c>
      <c r="L12" s="32">
        <v>3.7</v>
      </c>
      <c r="M12" s="32">
        <f>AVERAGE(K12:L12)</f>
        <v>13.5</v>
      </c>
      <c r="N12" s="121">
        <v>-34</v>
      </c>
      <c r="O12" s="170">
        <v>8.0489999999999995</v>
      </c>
      <c r="P12" s="174">
        <f t="shared" ref="P12:P13" si="4">0.0023*(M12+17)*O12*(K12-L12)^0.5</f>
        <v>2.4997561092023441</v>
      </c>
      <c r="Q12" s="403">
        <f>ABS(P12-P13)/P13</f>
        <v>3.1923076923076874E-2</v>
      </c>
    </row>
    <row r="13" spans="1:17" x14ac:dyDescent="0.25">
      <c r="A13" s="3">
        <v>3</v>
      </c>
      <c r="B13" s="3">
        <v>12</v>
      </c>
      <c r="C13" s="3"/>
      <c r="D13" s="3">
        <f t="shared" si="0"/>
        <v>8.0489999999999995</v>
      </c>
      <c r="E13" s="3">
        <f t="shared" si="1"/>
        <v>6.72</v>
      </c>
      <c r="F13" s="3"/>
      <c r="G13" s="404"/>
      <c r="I13" s="3" t="s">
        <v>253</v>
      </c>
      <c r="J13" s="32" t="s">
        <v>4</v>
      </c>
      <c r="K13" s="32">
        <v>23.3</v>
      </c>
      <c r="L13" s="32">
        <v>3.7</v>
      </c>
      <c r="M13" s="32">
        <f>AVERAGE(K13:L13)</f>
        <v>13.5</v>
      </c>
      <c r="N13" s="121">
        <v>-34</v>
      </c>
      <c r="O13" s="170">
        <v>7.8</v>
      </c>
      <c r="P13" s="174">
        <f t="shared" si="4"/>
        <v>2.4224248542400653</v>
      </c>
      <c r="Q13" s="403"/>
    </row>
    <row r="14" spans="1:17" x14ac:dyDescent="0.25">
      <c r="A14" s="3">
        <v>2</v>
      </c>
      <c r="B14" s="3">
        <v>13</v>
      </c>
      <c r="C14" s="3"/>
      <c r="D14" s="3">
        <f t="shared" si="0"/>
        <v>7.9660000000000002</v>
      </c>
      <c r="E14" s="3">
        <f t="shared" si="1"/>
        <v>6.68</v>
      </c>
      <c r="F14" s="3"/>
      <c r="G14" s="404"/>
      <c r="P14" s="175"/>
    </row>
    <row r="15" spans="1:17" x14ac:dyDescent="0.25">
      <c r="A15" s="3">
        <v>1</v>
      </c>
      <c r="B15" s="3">
        <v>14</v>
      </c>
      <c r="C15" s="3"/>
      <c r="D15" s="3">
        <f>7.8+(0.083*A15)</f>
        <v>7.883</v>
      </c>
      <c r="E15" s="3">
        <f>6.6+(A15*0.04)</f>
        <v>6.64</v>
      </c>
      <c r="F15" s="3"/>
      <c r="G15" s="404"/>
      <c r="P15" s="175"/>
    </row>
    <row r="16" spans="1:17" x14ac:dyDescent="0.25">
      <c r="A16" s="3">
        <v>0</v>
      </c>
      <c r="B16" s="3">
        <v>15</v>
      </c>
      <c r="C16" s="170">
        <v>10.3</v>
      </c>
      <c r="D16" s="170">
        <v>7.8</v>
      </c>
      <c r="E16" s="170">
        <v>6.6</v>
      </c>
      <c r="F16" s="3"/>
      <c r="G16" s="404"/>
      <c r="P16" s="175"/>
    </row>
    <row r="17" spans="1:17" x14ac:dyDescent="0.25">
      <c r="A17" s="3">
        <v>1</v>
      </c>
      <c r="B17" s="3">
        <v>16</v>
      </c>
      <c r="C17" s="3">
        <f>10.3-(0.083*A17)</f>
        <v>10.217000000000001</v>
      </c>
      <c r="D17" s="3">
        <f>7.8-(0.04*A17)</f>
        <v>7.76</v>
      </c>
      <c r="E17" s="3"/>
      <c r="F17" s="3"/>
      <c r="G17" s="404">
        <f t="shared" ref="G17" si="5">AVERAGE(D17:D23)</f>
        <v>7.6400000000000006</v>
      </c>
      <c r="P17" s="175"/>
    </row>
    <row r="18" spans="1:17" x14ac:dyDescent="0.25">
      <c r="A18" s="3">
        <v>2</v>
      </c>
      <c r="B18" s="3">
        <v>17</v>
      </c>
      <c r="C18" s="3">
        <f t="shared" ref="C18:C31" si="6">10.3-(0.083*A18)</f>
        <v>10.134</v>
      </c>
      <c r="D18" s="3">
        <f t="shared" ref="D18:D31" si="7">7.8-(0.04*A18)</f>
        <v>7.72</v>
      </c>
      <c r="E18" s="3"/>
      <c r="F18" s="3"/>
      <c r="G18" s="404"/>
      <c r="I18" s="171" t="s">
        <v>254</v>
      </c>
      <c r="J18" s="171" t="s">
        <v>12</v>
      </c>
      <c r="K18" s="172" t="s">
        <v>184</v>
      </c>
      <c r="L18" s="172" t="s">
        <v>185</v>
      </c>
      <c r="M18" s="172" t="s">
        <v>187</v>
      </c>
      <c r="N18" s="171" t="s">
        <v>31</v>
      </c>
      <c r="O18" s="171" t="s">
        <v>178</v>
      </c>
      <c r="P18" s="173" t="s">
        <v>215</v>
      </c>
      <c r="Q18" s="3" t="s">
        <v>255</v>
      </c>
    </row>
    <row r="19" spans="1:17" x14ac:dyDescent="0.25">
      <c r="A19" s="3">
        <v>3</v>
      </c>
      <c r="B19" s="3">
        <v>18</v>
      </c>
      <c r="C19" s="3">
        <f t="shared" si="6"/>
        <v>10.051</v>
      </c>
      <c r="D19" s="3">
        <f t="shared" si="7"/>
        <v>7.68</v>
      </c>
      <c r="E19" s="3"/>
      <c r="F19" s="3"/>
      <c r="G19" s="404"/>
      <c r="I19" s="3" t="s">
        <v>252</v>
      </c>
      <c r="J19" s="32" t="s">
        <v>4</v>
      </c>
      <c r="K19" s="32">
        <v>23.3</v>
      </c>
      <c r="L19" s="32">
        <v>3.7</v>
      </c>
      <c r="M19" s="32">
        <f>AVERAGE(K19:L19)</f>
        <v>13.5</v>
      </c>
      <c r="N19" s="121">
        <v>-34</v>
      </c>
      <c r="O19" s="170">
        <v>7.64</v>
      </c>
      <c r="P19" s="174">
        <f t="shared" ref="P19:P20" si="8">0.0023*(M19+17)*O19*(K19-L19)^0.5</f>
        <v>2.3727340879992433</v>
      </c>
      <c r="Q19" s="403">
        <f>ABS(P19-P20)/P20</f>
        <v>2.0512820512820541E-2</v>
      </c>
    </row>
    <row r="20" spans="1:17" x14ac:dyDescent="0.25">
      <c r="A20" s="3">
        <v>4</v>
      </c>
      <c r="B20" s="3">
        <v>19</v>
      </c>
      <c r="C20" s="3">
        <f t="shared" si="6"/>
        <v>9.968</v>
      </c>
      <c r="D20" s="3">
        <f t="shared" si="7"/>
        <v>7.64</v>
      </c>
      <c r="E20" s="3"/>
      <c r="F20" s="3"/>
      <c r="G20" s="404"/>
      <c r="I20" s="3" t="s">
        <v>253</v>
      </c>
      <c r="J20" s="32" t="s">
        <v>4</v>
      </c>
      <c r="K20" s="32">
        <v>23.3</v>
      </c>
      <c r="L20" s="32">
        <v>3.7</v>
      </c>
      <c r="M20" s="32">
        <f>AVERAGE(K20:L20)</f>
        <v>13.5</v>
      </c>
      <c r="N20" s="121">
        <v>-34</v>
      </c>
      <c r="O20" s="170">
        <v>7.8</v>
      </c>
      <c r="P20" s="174">
        <f t="shared" si="8"/>
        <v>2.4224248542400653</v>
      </c>
      <c r="Q20" s="403"/>
    </row>
    <row r="21" spans="1:17" x14ac:dyDescent="0.25">
      <c r="A21" s="3">
        <v>5</v>
      </c>
      <c r="B21" s="3">
        <v>20</v>
      </c>
      <c r="C21" s="3">
        <f t="shared" si="6"/>
        <v>9.8850000000000016</v>
      </c>
      <c r="D21" s="3">
        <f t="shared" si="7"/>
        <v>7.6</v>
      </c>
      <c r="E21" s="3"/>
      <c r="F21" s="3"/>
      <c r="G21" s="404"/>
      <c r="P21" s="175"/>
    </row>
    <row r="22" spans="1:17" x14ac:dyDescent="0.25">
      <c r="A22" s="3">
        <v>6</v>
      </c>
      <c r="B22" s="3">
        <v>21</v>
      </c>
      <c r="C22" s="3">
        <f t="shared" si="6"/>
        <v>9.8020000000000014</v>
      </c>
      <c r="D22" s="3">
        <f t="shared" si="7"/>
        <v>7.56</v>
      </c>
      <c r="E22" s="3"/>
      <c r="F22" s="3"/>
      <c r="G22" s="404"/>
      <c r="P22" s="175"/>
    </row>
    <row r="23" spans="1:17" x14ac:dyDescent="0.25">
      <c r="A23" s="3">
        <v>7</v>
      </c>
      <c r="B23" s="3">
        <v>22</v>
      </c>
      <c r="C23" s="3">
        <f t="shared" si="6"/>
        <v>9.7190000000000012</v>
      </c>
      <c r="D23" s="3">
        <f t="shared" si="7"/>
        <v>7.52</v>
      </c>
      <c r="E23" s="3"/>
      <c r="F23" s="3"/>
      <c r="G23" s="404"/>
      <c r="P23" s="175"/>
    </row>
    <row r="24" spans="1:17" x14ac:dyDescent="0.25">
      <c r="A24" s="3">
        <v>8</v>
      </c>
      <c r="B24" s="3">
        <v>23</v>
      </c>
      <c r="C24" s="3">
        <f t="shared" si="6"/>
        <v>9.636000000000001</v>
      </c>
      <c r="D24" s="3">
        <f t="shared" si="7"/>
        <v>7.4799999999999995</v>
      </c>
      <c r="E24" s="3"/>
      <c r="F24" s="3"/>
      <c r="G24" s="404">
        <f>AVERAGE(D24:D30)</f>
        <v>7.36</v>
      </c>
      <c r="P24" s="175"/>
    </row>
    <row r="25" spans="1:17" x14ac:dyDescent="0.25">
      <c r="A25" s="3">
        <v>9</v>
      </c>
      <c r="B25" s="3">
        <v>24</v>
      </c>
      <c r="C25" s="3">
        <f t="shared" si="6"/>
        <v>9.5530000000000008</v>
      </c>
      <c r="D25" s="3">
        <f t="shared" si="7"/>
        <v>7.4399999999999995</v>
      </c>
      <c r="E25" s="3"/>
      <c r="F25" s="3"/>
      <c r="G25" s="404"/>
      <c r="I25" s="171" t="s">
        <v>254</v>
      </c>
      <c r="J25" s="171" t="s">
        <v>12</v>
      </c>
      <c r="K25" s="172" t="s">
        <v>184</v>
      </c>
      <c r="L25" s="172" t="s">
        <v>185</v>
      </c>
      <c r="M25" s="172" t="s">
        <v>187</v>
      </c>
      <c r="N25" s="171" t="s">
        <v>31</v>
      </c>
      <c r="O25" s="171" t="s">
        <v>178</v>
      </c>
      <c r="P25" s="173" t="s">
        <v>215</v>
      </c>
      <c r="Q25" s="3" t="s">
        <v>255</v>
      </c>
    </row>
    <row r="26" spans="1:17" x14ac:dyDescent="0.25">
      <c r="A26" s="3">
        <v>10</v>
      </c>
      <c r="B26" s="3">
        <v>25</v>
      </c>
      <c r="C26" s="3">
        <f t="shared" si="6"/>
        <v>9.4700000000000006</v>
      </c>
      <c r="D26" s="3">
        <f t="shared" si="7"/>
        <v>7.3999999999999995</v>
      </c>
      <c r="E26" s="3"/>
      <c r="F26" s="3"/>
      <c r="G26" s="404"/>
      <c r="I26" s="3" t="s">
        <v>252</v>
      </c>
      <c r="J26" s="32" t="s">
        <v>4</v>
      </c>
      <c r="K26" s="32">
        <v>23.3</v>
      </c>
      <c r="L26" s="32">
        <v>3.7</v>
      </c>
      <c r="M26" s="32">
        <f>AVERAGE(K26:L26)</f>
        <v>13.5</v>
      </c>
      <c r="N26" s="121">
        <v>-34</v>
      </c>
      <c r="O26" s="170">
        <v>7.36</v>
      </c>
      <c r="P26" s="174">
        <f t="shared" ref="P26:P27" si="9">0.0023*(M26+17)*O26*(K26-L26)^0.5</f>
        <v>2.2857752470778054</v>
      </c>
      <c r="Q26" s="403">
        <f>ABS(P26-P27)/P27</f>
        <v>5.64102564102563E-2</v>
      </c>
    </row>
    <row r="27" spans="1:17" x14ac:dyDescent="0.25">
      <c r="A27" s="3">
        <v>11</v>
      </c>
      <c r="B27" s="3">
        <v>26</v>
      </c>
      <c r="C27" s="3">
        <f t="shared" si="6"/>
        <v>9.3870000000000005</v>
      </c>
      <c r="D27" s="3">
        <f t="shared" si="7"/>
        <v>7.3599999999999994</v>
      </c>
      <c r="E27" s="3"/>
      <c r="F27" s="3"/>
      <c r="G27" s="404"/>
      <c r="I27" s="3" t="s">
        <v>253</v>
      </c>
      <c r="J27" s="32" t="s">
        <v>4</v>
      </c>
      <c r="K27" s="32">
        <v>23.3</v>
      </c>
      <c r="L27" s="32">
        <v>3.7</v>
      </c>
      <c r="M27" s="32">
        <f>AVERAGE(K27:L27)</f>
        <v>13.5</v>
      </c>
      <c r="N27" s="121">
        <v>-34</v>
      </c>
      <c r="O27" s="170">
        <v>7.8</v>
      </c>
      <c r="P27" s="174">
        <f t="shared" si="9"/>
        <v>2.4224248542400653</v>
      </c>
      <c r="Q27" s="403"/>
    </row>
    <row r="28" spans="1:17" x14ac:dyDescent="0.25">
      <c r="A28" s="3">
        <v>12</v>
      </c>
      <c r="B28" s="3">
        <v>27</v>
      </c>
      <c r="C28" s="3">
        <f t="shared" si="6"/>
        <v>9.3040000000000003</v>
      </c>
      <c r="D28" s="3">
        <f t="shared" si="7"/>
        <v>7.32</v>
      </c>
      <c r="E28" s="3"/>
      <c r="F28" s="3"/>
      <c r="G28" s="404"/>
    </row>
    <row r="29" spans="1:17" x14ac:dyDescent="0.25">
      <c r="A29" s="3">
        <v>13</v>
      </c>
      <c r="B29" s="3">
        <v>28</v>
      </c>
      <c r="C29" s="3">
        <f t="shared" si="6"/>
        <v>9.2210000000000001</v>
      </c>
      <c r="D29" s="3">
        <f t="shared" si="7"/>
        <v>7.2799999999999994</v>
      </c>
      <c r="E29" s="3"/>
      <c r="F29" s="3"/>
      <c r="G29" s="404"/>
      <c r="L29" s="404" t="s">
        <v>254</v>
      </c>
      <c r="M29" s="404"/>
      <c r="N29" s="404"/>
      <c r="O29" s="404"/>
      <c r="P29" s="3" t="s">
        <v>258</v>
      </c>
      <c r="Q29" s="3" t="s">
        <v>255</v>
      </c>
    </row>
    <row r="30" spans="1:17" x14ac:dyDescent="0.25">
      <c r="A30" s="3">
        <v>14</v>
      </c>
      <c r="B30" s="3">
        <v>29</v>
      </c>
      <c r="C30" s="3">
        <f t="shared" si="6"/>
        <v>9.1379999999999999</v>
      </c>
      <c r="D30" s="3">
        <f t="shared" si="7"/>
        <v>7.24</v>
      </c>
      <c r="E30" s="3"/>
      <c r="F30" s="3"/>
      <c r="G30" s="404"/>
      <c r="L30" s="404" t="s">
        <v>256</v>
      </c>
      <c r="M30" s="404"/>
      <c r="N30" s="404"/>
      <c r="O30" s="404"/>
      <c r="P30" s="3">
        <f>AVERAGE(P5,P12,P19,P26)</f>
        <v>2.4596152870984307</v>
      </c>
      <c r="Q30" s="403">
        <f>ABS(P30-P31)/P31</f>
        <v>1.5352564102564237E-2</v>
      </c>
    </row>
    <row r="31" spans="1:17" x14ac:dyDescent="0.25">
      <c r="A31" s="3">
        <v>15</v>
      </c>
      <c r="B31" s="3">
        <v>30</v>
      </c>
      <c r="C31" s="3">
        <f t="shared" si="6"/>
        <v>9.0549999999999997</v>
      </c>
      <c r="D31" s="3">
        <f t="shared" si="7"/>
        <v>7.2</v>
      </c>
      <c r="E31" s="3"/>
      <c r="F31" s="3"/>
      <c r="G31" s="3" t="s">
        <v>251</v>
      </c>
      <c r="L31" s="404" t="s">
        <v>257</v>
      </c>
      <c r="M31" s="404"/>
      <c r="N31" s="404"/>
      <c r="O31" s="404"/>
      <c r="P31" s="3">
        <f>AVERAGE(P6,P13,P20,P27)</f>
        <v>2.4224248542400653</v>
      </c>
      <c r="Q31" s="403"/>
    </row>
  </sheetData>
  <mergeCells count="12">
    <mergeCell ref="L30:O30"/>
    <mergeCell ref="L31:O31"/>
    <mergeCell ref="L29:O29"/>
    <mergeCell ref="G3:G9"/>
    <mergeCell ref="G10:G16"/>
    <mergeCell ref="G17:G23"/>
    <mergeCell ref="G24:G30"/>
    <mergeCell ref="Q26:Q27"/>
    <mergeCell ref="Q19:Q20"/>
    <mergeCell ref="Q12:Q13"/>
    <mergeCell ref="Q5:Q6"/>
    <mergeCell ref="Q30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9626-DC34-45FA-8F09-908C581F527A}">
  <dimension ref="A1:AI3"/>
  <sheetViews>
    <sheetView workbookViewId="0">
      <selection activeCell="I4" sqref="I4"/>
    </sheetView>
  </sheetViews>
  <sheetFormatPr baseColWidth="10" defaultRowHeight="15" x14ac:dyDescent="0.25"/>
  <cols>
    <col min="1" max="1" width="6.140625" bestFit="1" customWidth="1"/>
    <col min="2" max="4" width="11.140625" bestFit="1" customWidth="1"/>
    <col min="6" max="6" width="8.140625" customWidth="1"/>
    <col min="7" max="7" width="12" bestFit="1" customWidth="1"/>
    <col min="11" max="11" width="16.85546875" bestFit="1" customWidth="1"/>
    <col min="12" max="12" width="14.42578125" bestFit="1" customWidth="1"/>
  </cols>
  <sheetData>
    <row r="1" spans="1:35" ht="15" customHeight="1" x14ac:dyDescent="0.25">
      <c r="A1" s="261" t="s">
        <v>12</v>
      </c>
      <c r="B1" s="259" t="s">
        <v>14</v>
      </c>
      <c r="C1" s="259" t="s">
        <v>15</v>
      </c>
      <c r="D1" s="259" t="s">
        <v>13</v>
      </c>
      <c r="E1" s="8"/>
      <c r="F1" s="259" t="s">
        <v>16</v>
      </c>
      <c r="G1" s="259" t="s">
        <v>17</v>
      </c>
      <c r="H1" s="8"/>
      <c r="I1" s="8"/>
      <c r="J1" s="8"/>
      <c r="K1" s="8"/>
      <c r="L1" s="8"/>
      <c r="M1" s="259" t="s">
        <v>18</v>
      </c>
      <c r="N1" s="259" t="s">
        <v>19</v>
      </c>
      <c r="O1" s="259" t="s">
        <v>20</v>
      </c>
      <c r="P1" s="259" t="s">
        <v>21</v>
      </c>
      <c r="Q1" s="259" t="s">
        <v>22</v>
      </c>
      <c r="R1" s="259" t="s">
        <v>23</v>
      </c>
      <c r="S1" s="259" t="s">
        <v>27</v>
      </c>
      <c r="T1" s="259" t="s">
        <v>28</v>
      </c>
      <c r="U1" s="259" t="s">
        <v>29</v>
      </c>
      <c r="V1" s="259" t="s">
        <v>30</v>
      </c>
      <c r="W1" s="259" t="s">
        <v>27</v>
      </c>
      <c r="X1" s="259" t="s">
        <v>28</v>
      </c>
      <c r="Y1" s="259" t="s">
        <v>29</v>
      </c>
      <c r="Z1" s="259" t="s">
        <v>30</v>
      </c>
      <c r="AA1" s="8"/>
      <c r="AB1" s="8"/>
      <c r="AC1" s="259" t="s">
        <v>36</v>
      </c>
      <c r="AD1" s="259" t="s">
        <v>37</v>
      </c>
      <c r="AE1" s="259" t="s">
        <v>38</v>
      </c>
      <c r="AF1" s="259" t="s">
        <v>39</v>
      </c>
      <c r="AG1" s="259" t="s">
        <v>41</v>
      </c>
      <c r="AH1" s="259" t="s">
        <v>40</v>
      </c>
      <c r="AI1" s="259" t="s">
        <v>42</v>
      </c>
    </row>
    <row r="2" spans="1:35" ht="31.5" x14ac:dyDescent="0.25">
      <c r="A2" s="262"/>
      <c r="B2" s="260"/>
      <c r="C2" s="260"/>
      <c r="D2" s="260"/>
      <c r="E2" s="9" t="s">
        <v>31</v>
      </c>
      <c r="F2" s="260"/>
      <c r="G2" s="260"/>
      <c r="H2" s="9" t="s">
        <v>33</v>
      </c>
      <c r="I2" s="9" t="s">
        <v>24</v>
      </c>
      <c r="J2" s="9" t="s">
        <v>25</v>
      </c>
      <c r="K2" s="9" t="s">
        <v>26</v>
      </c>
      <c r="L2" s="9" t="s">
        <v>32</v>
      </c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9" t="s">
        <v>60</v>
      </c>
      <c r="AB2" s="9" t="s">
        <v>61</v>
      </c>
      <c r="AC2" s="260"/>
      <c r="AD2" s="260"/>
      <c r="AE2" s="260"/>
      <c r="AF2" s="260"/>
      <c r="AG2" s="260"/>
      <c r="AH2" s="260"/>
      <c r="AI2" s="260"/>
    </row>
    <row r="3" spans="1:35" x14ac:dyDescent="0.25">
      <c r="A3" s="1" t="s">
        <v>0</v>
      </c>
      <c r="B3" s="1">
        <v>31.3</v>
      </c>
      <c r="C3" s="1">
        <v>4</v>
      </c>
      <c r="D3" s="2">
        <v>22</v>
      </c>
      <c r="E3" s="4">
        <v>-34</v>
      </c>
      <c r="F3" s="3">
        <v>17.7</v>
      </c>
      <c r="G3" s="3">
        <f>0.0023*(D3+17.78)*F3*(B3-C3)^0.5</f>
        <v>8.4614969977590491</v>
      </c>
      <c r="H3" s="3" t="s">
        <v>34</v>
      </c>
      <c r="I3" s="3">
        <v>0.76</v>
      </c>
      <c r="J3" s="3">
        <f>G3*I3</f>
        <v>6.4307377182968777</v>
      </c>
      <c r="K3" s="3">
        <f>G3*I3*7</f>
        <v>45.015164028078146</v>
      </c>
      <c r="L3" s="3" t="s">
        <v>35</v>
      </c>
      <c r="M3" s="3">
        <v>22</v>
      </c>
      <c r="N3" s="3">
        <v>10</v>
      </c>
      <c r="O3" s="3">
        <v>100</v>
      </c>
      <c r="P3" s="3">
        <v>0</v>
      </c>
      <c r="Q3" s="3">
        <v>17</v>
      </c>
      <c r="R3" s="6">
        <f>((M3-N3)/100)*O3*(1-(P3/100))</f>
        <v>12</v>
      </c>
      <c r="S3" s="7">
        <v>0.2</v>
      </c>
      <c r="T3" s="3">
        <f>R3*S3</f>
        <v>2.4000000000000004</v>
      </c>
      <c r="U3" s="3">
        <f>T3*10</f>
        <v>24.000000000000004</v>
      </c>
      <c r="V3" s="3">
        <f>K3/U3</f>
        <v>1.8756318345032559</v>
      </c>
      <c r="W3" s="7">
        <v>0.4</v>
      </c>
      <c r="X3" s="3">
        <f>R3*W3</f>
        <v>4.8000000000000007</v>
      </c>
      <c r="Y3" s="3">
        <f>X3*10</f>
        <v>48.000000000000007</v>
      </c>
      <c r="Z3" s="3">
        <f>K3/Y3</f>
        <v>0.93781591725162794</v>
      </c>
      <c r="AA3" s="3">
        <v>3</v>
      </c>
      <c r="AB3" s="3">
        <v>0.5</v>
      </c>
      <c r="AC3" s="3">
        <f>10000/(AA3*AB3)</f>
        <v>6666.666666666667</v>
      </c>
      <c r="AD3" s="3">
        <v>4</v>
      </c>
      <c r="AE3" s="3">
        <f>AC3*AD3/10000</f>
        <v>2.666666666666667</v>
      </c>
      <c r="AF3" s="7">
        <v>0.9</v>
      </c>
      <c r="AG3" s="3">
        <f>K3/(AE3*AF3)</f>
        <v>18.756318345032557</v>
      </c>
      <c r="AH3" s="3">
        <v>80</v>
      </c>
      <c r="AI3" s="3">
        <f>5*AH3/4</f>
        <v>100</v>
      </c>
    </row>
  </sheetData>
  <mergeCells count="27">
    <mergeCell ref="R1:R2"/>
    <mergeCell ref="A1:A2"/>
    <mergeCell ref="B1:B2"/>
    <mergeCell ref="C1:C2"/>
    <mergeCell ref="D1:D2"/>
    <mergeCell ref="F1:F2"/>
    <mergeCell ref="G1:G2"/>
    <mergeCell ref="M1:M2"/>
    <mergeCell ref="N1:N2"/>
    <mergeCell ref="O1:O2"/>
    <mergeCell ref="P1:P2"/>
    <mergeCell ref="Q1:Q2"/>
    <mergeCell ref="AD1:AD2"/>
    <mergeCell ref="W1:W2"/>
    <mergeCell ref="X1:X2"/>
    <mergeCell ref="Y1:Y2"/>
    <mergeCell ref="Z1:Z2"/>
    <mergeCell ref="S1:S2"/>
    <mergeCell ref="T1:T2"/>
    <mergeCell ref="U1:U2"/>
    <mergeCell ref="V1:V2"/>
    <mergeCell ref="AC1:AC2"/>
    <mergeCell ref="AE1:AE2"/>
    <mergeCell ref="AF1:AF2"/>
    <mergeCell ref="AG1:AG2"/>
    <mergeCell ref="AH1:AH2"/>
    <mergeCell ref="AI1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AD5F-08E1-4653-B476-7C21D93E306D}">
  <dimension ref="A1:AO107"/>
  <sheetViews>
    <sheetView zoomScale="110" zoomScaleNormal="110" workbookViewId="0">
      <selection activeCell="E25" sqref="E25"/>
    </sheetView>
  </sheetViews>
  <sheetFormatPr baseColWidth="10" defaultRowHeight="15" x14ac:dyDescent="0.25"/>
  <cols>
    <col min="1" max="1" width="5.140625" bestFit="1" customWidth="1"/>
    <col min="2" max="2" width="11.42578125" bestFit="1" customWidth="1"/>
    <col min="3" max="3" width="17.28515625" bestFit="1" customWidth="1"/>
    <col min="4" max="4" width="17.140625" bestFit="1" customWidth="1"/>
    <col min="5" max="5" width="14.85546875" bestFit="1" customWidth="1"/>
    <col min="6" max="6" width="12" bestFit="1" customWidth="1"/>
    <col min="7" max="7" width="10" bestFit="1" customWidth="1"/>
    <col min="8" max="8" width="12.28515625" bestFit="1" customWidth="1"/>
    <col min="9" max="9" width="21.5703125" bestFit="1" customWidth="1"/>
    <col min="10" max="10" width="6.7109375" bestFit="1" customWidth="1"/>
    <col min="11" max="11" width="12.5703125" bestFit="1" customWidth="1"/>
    <col min="12" max="12" width="17.42578125" bestFit="1" customWidth="1"/>
    <col min="13" max="13" width="13.7109375" bestFit="1" customWidth="1"/>
    <col min="14" max="14" width="26.5703125" customWidth="1"/>
    <col min="15" max="15" width="11.140625" customWidth="1"/>
    <col min="17" max="17" width="19.85546875" customWidth="1"/>
    <col min="20" max="20" width="17" customWidth="1"/>
  </cols>
  <sheetData>
    <row r="1" spans="1:37" ht="15" customHeight="1" x14ac:dyDescent="0.25">
      <c r="B1" s="261" t="s">
        <v>12</v>
      </c>
      <c r="C1" s="259" t="s">
        <v>14</v>
      </c>
      <c r="D1" s="259" t="s">
        <v>15</v>
      </c>
      <c r="E1" s="259" t="s">
        <v>13</v>
      </c>
      <c r="F1" s="8"/>
      <c r="G1" s="259" t="s">
        <v>16</v>
      </c>
      <c r="H1" s="259" t="s">
        <v>17</v>
      </c>
      <c r="I1" s="8"/>
      <c r="J1" s="8"/>
      <c r="K1" s="8"/>
      <c r="L1" s="8"/>
      <c r="M1" s="8"/>
      <c r="N1" s="8"/>
      <c r="O1" s="259" t="s">
        <v>18</v>
      </c>
      <c r="P1" s="259" t="s">
        <v>19</v>
      </c>
      <c r="Q1" s="259" t="s">
        <v>20</v>
      </c>
      <c r="R1" s="259" t="s">
        <v>21</v>
      </c>
      <c r="S1" s="259" t="s">
        <v>22</v>
      </c>
      <c r="T1" s="259" t="s">
        <v>23</v>
      </c>
      <c r="U1" s="259" t="s">
        <v>27</v>
      </c>
      <c r="V1" s="259" t="s">
        <v>28</v>
      </c>
      <c r="W1" s="259" t="s">
        <v>29</v>
      </c>
      <c r="X1" s="259" t="s">
        <v>30</v>
      </c>
      <c r="Y1" s="259" t="s">
        <v>27</v>
      </c>
      <c r="Z1" s="259" t="s">
        <v>28</v>
      </c>
      <c r="AA1" s="259" t="s">
        <v>29</v>
      </c>
      <c r="AB1" s="259" t="s">
        <v>30</v>
      </c>
      <c r="AC1" s="8"/>
      <c r="AD1" s="8"/>
      <c r="AE1" s="259" t="s">
        <v>36</v>
      </c>
      <c r="AF1" s="259" t="s">
        <v>37</v>
      </c>
      <c r="AG1" s="259" t="s">
        <v>38</v>
      </c>
      <c r="AH1" s="259" t="s">
        <v>39</v>
      </c>
      <c r="AI1" s="259" t="s">
        <v>41</v>
      </c>
      <c r="AJ1" s="259" t="s">
        <v>40</v>
      </c>
      <c r="AK1" s="259" t="s">
        <v>42</v>
      </c>
    </row>
    <row r="2" spans="1:37" ht="15.75" x14ac:dyDescent="0.25">
      <c r="B2" s="262"/>
      <c r="C2" s="260"/>
      <c r="D2" s="260"/>
      <c r="E2" s="260"/>
      <c r="F2" s="9" t="s">
        <v>31</v>
      </c>
      <c r="G2" s="260"/>
      <c r="H2" s="260"/>
      <c r="I2" s="9" t="s">
        <v>33</v>
      </c>
      <c r="J2" s="9" t="s">
        <v>24</v>
      </c>
      <c r="K2" s="9" t="s">
        <v>25</v>
      </c>
      <c r="L2" s="9" t="s">
        <v>26</v>
      </c>
      <c r="M2" s="9"/>
      <c r="N2" s="9" t="s">
        <v>32</v>
      </c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9" t="s">
        <v>60</v>
      </c>
      <c r="AD2" s="9" t="s">
        <v>61</v>
      </c>
      <c r="AE2" s="260"/>
      <c r="AF2" s="260"/>
      <c r="AG2" s="260"/>
      <c r="AH2" s="260"/>
      <c r="AI2" s="260"/>
      <c r="AJ2" s="260"/>
      <c r="AK2" s="260"/>
    </row>
    <row r="3" spans="1:37" x14ac:dyDescent="0.25">
      <c r="A3" s="263">
        <v>2015</v>
      </c>
      <c r="B3" s="1" t="s">
        <v>0</v>
      </c>
      <c r="C3" s="1"/>
      <c r="D3" s="1"/>
      <c r="E3" s="2"/>
      <c r="F3" s="4">
        <v>-34</v>
      </c>
      <c r="G3">
        <v>17.7</v>
      </c>
      <c r="H3" s="3">
        <f>0.0023*(E3+17.78)*G3*(C3-D3)^0.5</f>
        <v>0</v>
      </c>
      <c r="I3" s="3" t="s">
        <v>34</v>
      </c>
      <c r="J3" s="3">
        <v>0.76</v>
      </c>
      <c r="K3" s="3">
        <f>H3*J3</f>
        <v>0</v>
      </c>
      <c r="L3" s="3">
        <f>H3*J3*7</f>
        <v>0</v>
      </c>
      <c r="M3" s="3"/>
      <c r="N3" s="3" t="s">
        <v>35</v>
      </c>
      <c r="O3" s="3">
        <v>22</v>
      </c>
      <c r="P3" s="3">
        <v>10</v>
      </c>
      <c r="Q3" s="3">
        <v>100</v>
      </c>
      <c r="R3" s="3">
        <v>0</v>
      </c>
      <c r="S3" s="3">
        <v>17</v>
      </c>
      <c r="T3" s="6">
        <f>((O3-P3)/100)*Q3*(1-(R3/100))</f>
        <v>12</v>
      </c>
      <c r="U3" s="7">
        <v>0.2</v>
      </c>
      <c r="V3" s="3">
        <f>T3*U3</f>
        <v>2.4000000000000004</v>
      </c>
      <c r="W3" s="3">
        <f>V3*10</f>
        <v>24.000000000000004</v>
      </c>
      <c r="X3" s="3">
        <f>L3/W3</f>
        <v>0</v>
      </c>
      <c r="Y3" s="7">
        <v>0.4</v>
      </c>
      <c r="Z3" s="3">
        <f>T3*Y3</f>
        <v>4.8000000000000007</v>
      </c>
      <c r="AA3" s="3">
        <f>Z3*10</f>
        <v>48.000000000000007</v>
      </c>
      <c r="AB3" s="3">
        <f>L3/AA3</f>
        <v>0</v>
      </c>
      <c r="AC3" s="3">
        <v>3</v>
      </c>
      <c r="AD3" s="3">
        <v>0.5</v>
      </c>
      <c r="AE3" s="3">
        <f>10000/(AC3*AD3)</f>
        <v>6666.666666666667</v>
      </c>
      <c r="AF3" s="3">
        <v>4</v>
      </c>
      <c r="AG3" s="3">
        <f>AE3*AF3/10000</f>
        <v>2.666666666666667</v>
      </c>
      <c r="AH3" s="7">
        <v>0.9</v>
      </c>
      <c r="AI3" s="3">
        <f>L3/(AG3*AH3)</f>
        <v>0</v>
      </c>
      <c r="AJ3" s="3">
        <v>80</v>
      </c>
      <c r="AK3" s="3">
        <f>5*AJ3/4</f>
        <v>100</v>
      </c>
    </row>
    <row r="4" spans="1:37" x14ac:dyDescent="0.25">
      <c r="A4" s="263"/>
      <c r="B4" s="1" t="s">
        <v>1</v>
      </c>
      <c r="C4" s="1"/>
      <c r="D4" s="1"/>
      <c r="E4" s="2"/>
      <c r="F4" s="4">
        <v>-34</v>
      </c>
      <c r="G4">
        <v>16</v>
      </c>
      <c r="H4" s="3">
        <f t="shared" ref="H4:H18" si="0">0.0023*(E4+17.78)*G4*(C4-D4)^0.5</f>
        <v>0</v>
      </c>
      <c r="I4" s="3" t="s">
        <v>34</v>
      </c>
      <c r="J4" s="3">
        <v>0.76</v>
      </c>
      <c r="K4" s="3">
        <f t="shared" ref="K4:K18" si="1">H4*J4</f>
        <v>0</v>
      </c>
      <c r="L4" s="3">
        <f t="shared" ref="L4:L18" si="2">H4*J4*7</f>
        <v>0</v>
      </c>
      <c r="M4" s="3"/>
      <c r="N4" s="3"/>
      <c r="O4" s="3"/>
      <c r="P4" s="3"/>
      <c r="Q4" s="3"/>
      <c r="R4" s="3"/>
      <c r="S4" s="3"/>
      <c r="T4" s="6"/>
      <c r="U4" s="7"/>
      <c r="V4" s="3"/>
      <c r="W4" s="3"/>
      <c r="X4" s="3"/>
      <c r="Y4" s="3"/>
      <c r="Z4" s="3"/>
      <c r="AA4" s="3"/>
      <c r="AB4" s="3"/>
      <c r="AC4" s="3"/>
      <c r="AD4" s="7"/>
      <c r="AE4" s="3"/>
      <c r="AF4" s="3"/>
      <c r="AG4" s="3"/>
    </row>
    <row r="5" spans="1:37" x14ac:dyDescent="0.25">
      <c r="A5" s="263"/>
      <c r="B5" s="1" t="s">
        <v>2</v>
      </c>
      <c r="C5" s="1"/>
      <c r="D5" s="1"/>
      <c r="E5" s="2"/>
      <c r="F5" s="4">
        <v>-34</v>
      </c>
      <c r="G5">
        <v>13.5</v>
      </c>
      <c r="H5" s="3">
        <f t="shared" si="0"/>
        <v>0</v>
      </c>
      <c r="I5" s="3" t="s">
        <v>34</v>
      </c>
      <c r="J5" s="3">
        <v>0.76</v>
      </c>
      <c r="K5" s="3">
        <f t="shared" si="1"/>
        <v>0</v>
      </c>
      <c r="L5" s="3">
        <f t="shared" si="2"/>
        <v>0</v>
      </c>
      <c r="M5" s="3"/>
      <c r="N5" s="3"/>
      <c r="O5" s="3"/>
      <c r="P5" s="3"/>
      <c r="Q5" s="3"/>
      <c r="R5" s="3"/>
      <c r="S5" s="3"/>
      <c r="T5" s="6"/>
      <c r="U5" s="7"/>
      <c r="V5" s="3"/>
      <c r="W5" s="3"/>
      <c r="X5" s="3"/>
      <c r="Y5" s="3"/>
      <c r="Z5" s="3"/>
      <c r="AA5" s="3"/>
      <c r="AB5" s="3"/>
      <c r="AC5" s="3"/>
      <c r="AD5" s="7"/>
      <c r="AE5" s="3"/>
      <c r="AF5" s="3"/>
      <c r="AG5" s="3"/>
    </row>
    <row r="6" spans="1:37" x14ac:dyDescent="0.25">
      <c r="A6" s="263"/>
      <c r="B6" s="1" t="s">
        <v>3</v>
      </c>
      <c r="C6" s="1"/>
      <c r="D6" s="1"/>
      <c r="E6" s="2"/>
      <c r="F6" s="4">
        <v>-34</v>
      </c>
      <c r="G6">
        <v>10.3</v>
      </c>
      <c r="H6" s="3">
        <f t="shared" si="0"/>
        <v>0</v>
      </c>
      <c r="I6" s="3" t="s">
        <v>34</v>
      </c>
      <c r="J6" s="3">
        <v>0.76</v>
      </c>
      <c r="K6" s="3">
        <f t="shared" si="1"/>
        <v>0</v>
      </c>
      <c r="L6" s="3">
        <f t="shared" si="2"/>
        <v>0</v>
      </c>
      <c r="M6" s="3"/>
      <c r="N6" s="3"/>
      <c r="O6" s="3"/>
      <c r="P6" s="3"/>
      <c r="Q6" s="3"/>
      <c r="R6" s="3"/>
      <c r="S6" s="3"/>
      <c r="T6" s="6"/>
      <c r="U6" s="7"/>
      <c r="V6" s="3"/>
      <c r="W6" s="3"/>
      <c r="X6" s="3"/>
      <c r="Y6" s="3"/>
      <c r="Z6" s="3"/>
      <c r="AA6" s="3"/>
      <c r="AB6" s="3"/>
      <c r="AC6" s="3"/>
      <c r="AD6" s="7"/>
      <c r="AE6" s="3"/>
      <c r="AF6" s="3"/>
      <c r="AG6" s="3"/>
    </row>
    <row r="7" spans="1:37" x14ac:dyDescent="0.25">
      <c r="A7" s="263"/>
      <c r="B7" s="1" t="s">
        <v>4</v>
      </c>
      <c r="C7" s="1">
        <v>21.8</v>
      </c>
      <c r="D7" s="1">
        <v>-1</v>
      </c>
      <c r="E7" s="2">
        <v>9.6999999999999993</v>
      </c>
      <c r="F7" s="4">
        <v>-34</v>
      </c>
      <c r="G7">
        <v>7.8</v>
      </c>
      <c r="H7" s="3">
        <f t="shared" si="0"/>
        <v>2.3540007159569072</v>
      </c>
      <c r="I7" s="3" t="s">
        <v>34</v>
      </c>
      <c r="J7" s="3">
        <v>0.76</v>
      </c>
      <c r="K7" s="3">
        <f t="shared" si="1"/>
        <v>1.7890405441272494</v>
      </c>
      <c r="L7" s="3">
        <f t="shared" si="2"/>
        <v>12.523283808890746</v>
      </c>
      <c r="M7" s="3">
        <f>H7*J7*30.4167</f>
        <v>54.416709518555308</v>
      </c>
      <c r="N7">
        <v>30.2</v>
      </c>
      <c r="O7" s="3">
        <f>M7-N7</f>
        <v>24.216709518555309</v>
      </c>
      <c r="P7" s="3"/>
      <c r="Q7" s="3"/>
      <c r="R7" s="3"/>
      <c r="S7" s="3"/>
      <c r="T7" s="6"/>
      <c r="U7" s="7"/>
      <c r="V7" s="3"/>
      <c r="W7" s="3"/>
      <c r="X7" s="3"/>
      <c r="Y7" s="3"/>
      <c r="Z7" s="3"/>
      <c r="AA7" s="3"/>
      <c r="AB7" s="3"/>
      <c r="AC7" s="3"/>
      <c r="AD7" s="7"/>
      <c r="AE7" s="3"/>
      <c r="AF7" s="3"/>
      <c r="AG7" s="3"/>
    </row>
    <row r="8" spans="1:37" x14ac:dyDescent="0.25">
      <c r="A8" s="263"/>
      <c r="B8" s="1" t="s">
        <v>5</v>
      </c>
      <c r="C8" s="1">
        <v>19.8</v>
      </c>
      <c r="D8" s="1">
        <v>-1.5</v>
      </c>
      <c r="E8" s="2">
        <v>8</v>
      </c>
      <c r="F8" s="4">
        <v>-34</v>
      </c>
      <c r="G8">
        <v>6.6</v>
      </c>
      <c r="H8" s="3">
        <f t="shared" si="0"/>
        <v>1.8061112022012951</v>
      </c>
      <c r="I8" s="3" t="s">
        <v>34</v>
      </c>
      <c r="J8" s="3">
        <v>0.76</v>
      </c>
      <c r="K8" s="3">
        <f t="shared" si="1"/>
        <v>1.3726445136729843</v>
      </c>
      <c r="L8" s="3">
        <f t="shared" si="2"/>
        <v>9.6085115957108904</v>
      </c>
      <c r="M8" s="3">
        <f t="shared" ref="M8:M18" si="3">H8*J8*30.4167</f>
        <v>41.751316379037064</v>
      </c>
      <c r="N8">
        <v>23.4</v>
      </c>
      <c r="O8" s="3">
        <f t="shared" ref="O8:O18" si="4">M8-N8</f>
        <v>18.351316379037065</v>
      </c>
      <c r="P8" s="3"/>
      <c r="Q8" s="3"/>
      <c r="R8" s="3"/>
      <c r="S8" s="3"/>
      <c r="T8" s="6"/>
      <c r="U8" s="7"/>
      <c r="V8" s="3"/>
      <c r="W8" s="3"/>
      <c r="X8" s="3"/>
      <c r="Y8" s="3"/>
      <c r="Z8" s="3"/>
      <c r="AA8" s="3"/>
      <c r="AB8" s="3"/>
      <c r="AC8" s="3"/>
      <c r="AD8" s="7"/>
      <c r="AE8" s="3"/>
      <c r="AF8" s="3"/>
      <c r="AG8" s="3"/>
    </row>
    <row r="9" spans="1:37" x14ac:dyDescent="0.25">
      <c r="A9" s="263"/>
      <c r="B9" s="1" t="s">
        <v>6</v>
      </c>
      <c r="C9" s="1">
        <v>18.600000000000001</v>
      </c>
      <c r="D9" s="1">
        <v>-1.4</v>
      </c>
      <c r="E9" s="2">
        <v>7.6</v>
      </c>
      <c r="F9" s="4">
        <v>-34</v>
      </c>
      <c r="G9">
        <v>7.1</v>
      </c>
      <c r="H9" s="3">
        <f t="shared" si="0"/>
        <v>1.8535008960837327</v>
      </c>
      <c r="I9" s="3" t="s">
        <v>34</v>
      </c>
      <c r="J9" s="3">
        <v>0.76</v>
      </c>
      <c r="K9" s="3">
        <f t="shared" si="1"/>
        <v>1.4086606810236368</v>
      </c>
      <c r="L9" s="3">
        <f t="shared" si="2"/>
        <v>9.8606247671654579</v>
      </c>
      <c r="M9" s="3">
        <f t="shared" si="3"/>
        <v>42.846809336491653</v>
      </c>
      <c r="N9">
        <v>28.1</v>
      </c>
      <c r="O9" s="3">
        <f t="shared" si="4"/>
        <v>14.746809336491651</v>
      </c>
      <c r="P9" s="3"/>
      <c r="Q9" s="3"/>
      <c r="R9" s="3"/>
      <c r="S9" s="3"/>
      <c r="T9" s="6"/>
      <c r="U9" s="7"/>
      <c r="V9" s="3"/>
      <c r="W9" s="3"/>
      <c r="X9" s="3"/>
      <c r="Y9" s="3"/>
      <c r="Z9" s="3"/>
      <c r="AA9" s="3"/>
      <c r="AB9" s="3"/>
      <c r="AC9" s="3"/>
      <c r="AD9" s="7"/>
      <c r="AE9" s="3"/>
      <c r="AF9" s="3"/>
      <c r="AG9" s="3"/>
    </row>
    <row r="10" spans="1:37" x14ac:dyDescent="0.25">
      <c r="A10" s="263"/>
      <c r="B10" s="1" t="s">
        <v>7</v>
      </c>
      <c r="C10" s="1">
        <v>20</v>
      </c>
      <c r="D10" s="1">
        <v>-2</v>
      </c>
      <c r="E10" s="2">
        <v>8.6999999999999993</v>
      </c>
      <c r="F10" s="4">
        <v>-34</v>
      </c>
      <c r="G10">
        <v>9.1</v>
      </c>
      <c r="H10" s="3">
        <f t="shared" si="0"/>
        <v>2.5995522410702043</v>
      </c>
      <c r="I10" s="3" t="s">
        <v>34</v>
      </c>
      <c r="J10" s="3">
        <v>0.76</v>
      </c>
      <c r="K10" s="3">
        <f t="shared" si="1"/>
        <v>1.9756597032133554</v>
      </c>
      <c r="L10" s="3">
        <f t="shared" si="2"/>
        <v>13.829617922493487</v>
      </c>
      <c r="M10" s="3">
        <f t="shared" si="3"/>
        <v>60.093048494729665</v>
      </c>
      <c r="N10">
        <v>44.2</v>
      </c>
      <c r="O10" s="3">
        <f t="shared" si="4"/>
        <v>15.893048494729662</v>
      </c>
      <c r="P10" s="3"/>
      <c r="Q10" s="3"/>
      <c r="R10" s="3"/>
      <c r="S10" s="3"/>
      <c r="T10" s="6"/>
      <c r="U10" s="7"/>
      <c r="V10" s="3"/>
      <c r="W10" s="3"/>
      <c r="X10" s="3"/>
      <c r="Y10" s="3"/>
      <c r="Z10" s="3"/>
      <c r="AA10" s="3"/>
      <c r="AB10" s="3"/>
      <c r="AC10" s="3"/>
      <c r="AD10" s="7"/>
      <c r="AE10" s="3"/>
      <c r="AF10" s="3"/>
      <c r="AG10" s="3"/>
    </row>
    <row r="11" spans="1:37" x14ac:dyDescent="0.25">
      <c r="A11" s="263"/>
      <c r="B11" s="1" t="s">
        <v>8</v>
      </c>
      <c r="C11" s="1">
        <v>25</v>
      </c>
      <c r="D11" s="1">
        <v>-2.4</v>
      </c>
      <c r="E11" s="2">
        <v>10.199999999999999</v>
      </c>
      <c r="F11" s="4">
        <v>-34</v>
      </c>
      <c r="G11">
        <v>12.1</v>
      </c>
      <c r="H11" s="3">
        <f t="shared" si="0"/>
        <v>4.0760189825041717</v>
      </c>
      <c r="I11" s="3" t="s">
        <v>34</v>
      </c>
      <c r="J11" s="3">
        <v>0.76</v>
      </c>
      <c r="K11" s="3">
        <f t="shared" si="1"/>
        <v>3.0977744267031704</v>
      </c>
      <c r="L11" s="3">
        <f t="shared" si="2"/>
        <v>21.684420986922191</v>
      </c>
      <c r="M11" s="3">
        <f t="shared" si="3"/>
        <v>94.224075404702319</v>
      </c>
      <c r="N11">
        <v>67.5</v>
      </c>
      <c r="O11" s="3">
        <f t="shared" si="4"/>
        <v>26.724075404702319</v>
      </c>
      <c r="P11" s="3"/>
      <c r="Q11" s="3"/>
      <c r="R11" s="3"/>
      <c r="S11" s="3"/>
      <c r="T11" s="6"/>
      <c r="U11" s="7"/>
      <c r="V11" s="3"/>
      <c r="W11" s="3"/>
      <c r="X11" s="3"/>
      <c r="Y11" s="3"/>
      <c r="Z11" s="3"/>
      <c r="AA11" s="3"/>
      <c r="AB11" s="3"/>
      <c r="AC11" s="3"/>
      <c r="AD11" s="7"/>
      <c r="AE11" s="3"/>
      <c r="AF11" s="3"/>
      <c r="AG11" s="3"/>
    </row>
    <row r="12" spans="1:37" x14ac:dyDescent="0.25">
      <c r="A12" s="263"/>
      <c r="B12" s="1" t="s">
        <v>9</v>
      </c>
      <c r="C12" s="1">
        <v>26.2</v>
      </c>
      <c r="D12" s="1">
        <v>0.4</v>
      </c>
      <c r="E12" s="2">
        <v>13.2</v>
      </c>
      <c r="F12" s="4">
        <v>-34</v>
      </c>
      <c r="G12">
        <v>15</v>
      </c>
      <c r="H12" s="3">
        <f t="shared" si="0"/>
        <v>5.4288814921105066</v>
      </c>
      <c r="I12" s="3" t="s">
        <v>34</v>
      </c>
      <c r="J12" s="3">
        <v>0.76</v>
      </c>
      <c r="K12" s="3">
        <f t="shared" si="1"/>
        <v>4.1259499340039847</v>
      </c>
      <c r="L12" s="3">
        <f t="shared" si="2"/>
        <v>28.881649538027894</v>
      </c>
      <c r="M12" s="3">
        <f t="shared" si="3"/>
        <v>125.49778135761899</v>
      </c>
      <c r="N12">
        <v>105</v>
      </c>
      <c r="O12" s="3">
        <f t="shared" si="4"/>
        <v>20.49778135761899</v>
      </c>
      <c r="P12" s="3"/>
      <c r="Q12" s="3"/>
      <c r="R12" s="3"/>
      <c r="S12" s="3"/>
      <c r="T12" s="6"/>
      <c r="U12" s="7"/>
      <c r="V12" s="3"/>
      <c r="W12" s="3"/>
      <c r="X12" s="3"/>
      <c r="Y12" s="3"/>
      <c r="Z12" s="3"/>
      <c r="AA12" s="3"/>
      <c r="AB12" s="3"/>
      <c r="AC12" s="3"/>
      <c r="AD12" s="7"/>
      <c r="AE12" s="3"/>
      <c r="AF12" s="3"/>
      <c r="AG12" s="3"/>
    </row>
    <row r="13" spans="1:37" x14ac:dyDescent="0.25">
      <c r="A13" s="263"/>
      <c r="B13" s="1" t="s">
        <v>10</v>
      </c>
      <c r="C13" s="1">
        <v>31.3</v>
      </c>
      <c r="D13" s="1">
        <v>6.2</v>
      </c>
      <c r="E13" s="2">
        <v>17.600000000000001</v>
      </c>
      <c r="F13" s="4">
        <v>-34</v>
      </c>
      <c r="G13">
        <v>17.100000000000001</v>
      </c>
      <c r="H13" s="3">
        <f t="shared" si="0"/>
        <v>6.9713780668065279</v>
      </c>
      <c r="I13" s="3" t="s">
        <v>34</v>
      </c>
      <c r="J13" s="3">
        <v>0.76</v>
      </c>
      <c r="K13" s="3">
        <f t="shared" si="1"/>
        <v>5.298247330772961</v>
      </c>
      <c r="L13" s="3">
        <f t="shared" si="2"/>
        <v>37.087731315410728</v>
      </c>
      <c r="M13" s="3">
        <f t="shared" si="3"/>
        <v>161.15519958592191</v>
      </c>
      <c r="N13">
        <v>153</v>
      </c>
      <c r="O13" s="3">
        <f t="shared" si="4"/>
        <v>8.1551995859219062</v>
      </c>
      <c r="P13" s="3"/>
      <c r="Q13" s="3"/>
      <c r="R13" s="3"/>
      <c r="S13" s="3"/>
      <c r="T13" s="6"/>
      <c r="U13" s="7"/>
      <c r="V13" s="3"/>
      <c r="W13" s="3"/>
      <c r="X13" s="3"/>
      <c r="Y13" s="3"/>
      <c r="Z13" s="3"/>
      <c r="AA13" s="3"/>
      <c r="AB13" s="3"/>
      <c r="AC13" s="3"/>
      <c r="AD13" s="7"/>
      <c r="AE13" s="3"/>
      <c r="AF13" s="3"/>
      <c r="AG13" s="3"/>
    </row>
    <row r="14" spans="1:37" x14ac:dyDescent="0.25">
      <c r="A14" s="263"/>
      <c r="B14" s="1" t="s">
        <v>11</v>
      </c>
      <c r="C14" s="1">
        <v>32.6</v>
      </c>
      <c r="D14" s="1">
        <v>8.6</v>
      </c>
      <c r="E14" s="2">
        <v>19.5</v>
      </c>
      <c r="F14" s="4">
        <v>-34</v>
      </c>
      <c r="G14">
        <v>18.100000000000001</v>
      </c>
      <c r="H14" s="3">
        <f t="shared" si="0"/>
        <v>7.6030515558882703</v>
      </c>
      <c r="I14" s="3" t="s">
        <v>34</v>
      </c>
      <c r="J14" s="3">
        <v>0.76</v>
      </c>
      <c r="K14" s="3">
        <f t="shared" si="1"/>
        <v>5.7783191824750855</v>
      </c>
      <c r="L14" s="3">
        <f t="shared" si="2"/>
        <v>40.448234277325597</v>
      </c>
      <c r="M14" s="3">
        <f t="shared" si="3"/>
        <v>175.75740107758992</v>
      </c>
      <c r="N14">
        <v>175.8</v>
      </c>
      <c r="O14" s="3">
        <f t="shared" si="4"/>
        <v>-4.259892241009311E-2</v>
      </c>
      <c r="P14" s="3"/>
      <c r="Q14" s="3"/>
      <c r="R14" s="3"/>
      <c r="S14" s="3"/>
      <c r="T14" s="6"/>
      <c r="U14" s="7"/>
      <c r="V14" s="3"/>
      <c r="W14" s="3"/>
      <c r="X14" s="3"/>
      <c r="Y14" s="3"/>
      <c r="Z14" s="3"/>
      <c r="AA14" s="3"/>
      <c r="AB14" s="3"/>
      <c r="AC14" s="3"/>
      <c r="AD14" s="7"/>
      <c r="AE14" s="3"/>
      <c r="AF14" s="3"/>
      <c r="AG14" s="3"/>
    </row>
    <row r="15" spans="1:37" x14ac:dyDescent="0.25">
      <c r="A15" s="263">
        <v>2016</v>
      </c>
      <c r="B15" s="1" t="s">
        <v>0</v>
      </c>
      <c r="C15" s="11">
        <v>32.9</v>
      </c>
      <c r="D15" s="11">
        <v>9.4</v>
      </c>
      <c r="E15" s="12">
        <v>20.6</v>
      </c>
      <c r="F15" s="4">
        <v>-34</v>
      </c>
      <c r="G15">
        <v>17.7</v>
      </c>
      <c r="H15" s="3">
        <f t="shared" si="0"/>
        <v>7.5742564236841723</v>
      </c>
      <c r="I15" s="3" t="s">
        <v>34</v>
      </c>
      <c r="J15" s="3">
        <v>0.76</v>
      </c>
      <c r="K15" s="3">
        <f t="shared" si="1"/>
        <v>5.7564348819999713</v>
      </c>
      <c r="L15" s="3">
        <f t="shared" si="2"/>
        <v>40.295044173999798</v>
      </c>
      <c r="M15" s="3">
        <f t="shared" si="3"/>
        <v>175.09175287532852</v>
      </c>
      <c r="N15">
        <v>173.2</v>
      </c>
      <c r="O15" s="3">
        <f t="shared" si="4"/>
        <v>1.8917528753285353</v>
      </c>
    </row>
    <row r="16" spans="1:37" x14ac:dyDescent="0.25">
      <c r="A16" s="263"/>
      <c r="B16" s="1" t="s">
        <v>1</v>
      </c>
      <c r="C16" s="11">
        <v>33.299999999999997</v>
      </c>
      <c r="D16" s="11">
        <v>7.5</v>
      </c>
      <c r="E16" s="12">
        <v>19.3</v>
      </c>
      <c r="F16" s="4">
        <v>-34</v>
      </c>
      <c r="G16">
        <v>16</v>
      </c>
      <c r="H16" s="3">
        <f t="shared" si="0"/>
        <v>6.9310239114252665</v>
      </c>
      <c r="I16" s="3" t="s">
        <v>34</v>
      </c>
      <c r="J16" s="3">
        <v>0.76</v>
      </c>
      <c r="K16" s="3">
        <f t="shared" si="1"/>
        <v>5.2675781726832023</v>
      </c>
      <c r="L16" s="3">
        <f t="shared" si="2"/>
        <v>36.873047208782417</v>
      </c>
      <c r="M16" s="3">
        <f t="shared" si="3"/>
        <v>160.22234500505314</v>
      </c>
      <c r="N16">
        <v>141.5</v>
      </c>
      <c r="O16" s="3">
        <f t="shared" si="4"/>
        <v>18.722345005053143</v>
      </c>
    </row>
    <row r="17" spans="1:37" x14ac:dyDescent="0.25">
      <c r="A17" s="263"/>
      <c r="B17" s="1" t="s">
        <v>2</v>
      </c>
      <c r="C17" s="11">
        <v>31.6</v>
      </c>
      <c r="D17" s="11">
        <v>6.7</v>
      </c>
      <c r="E17" s="12">
        <v>18.100000000000001</v>
      </c>
      <c r="F17" s="4">
        <v>-34</v>
      </c>
      <c r="G17">
        <v>13.5</v>
      </c>
      <c r="H17" s="3">
        <f t="shared" si="0"/>
        <v>5.5592180969226597</v>
      </c>
      <c r="I17" s="3" t="s">
        <v>34</v>
      </c>
      <c r="J17" s="3">
        <v>0.76</v>
      </c>
      <c r="K17" s="3">
        <f t="shared" si="1"/>
        <v>4.2250057536612218</v>
      </c>
      <c r="L17" s="3">
        <f t="shared" si="2"/>
        <v>29.575040275628552</v>
      </c>
      <c r="M17" s="3">
        <f t="shared" si="3"/>
        <v>128.51073250738727</v>
      </c>
      <c r="N17">
        <v>117</v>
      </c>
      <c r="O17" s="3">
        <f t="shared" si="4"/>
        <v>11.510732507387274</v>
      </c>
    </row>
    <row r="18" spans="1:37" x14ac:dyDescent="0.25">
      <c r="A18" s="263"/>
      <c r="B18" s="1" t="s">
        <v>3</v>
      </c>
      <c r="C18" s="11">
        <v>29.8</v>
      </c>
      <c r="D18" s="11">
        <v>3.3</v>
      </c>
      <c r="E18" s="12">
        <v>14.3</v>
      </c>
      <c r="F18" s="4">
        <v>-34</v>
      </c>
      <c r="G18">
        <v>10.3</v>
      </c>
      <c r="H18" s="3">
        <f t="shared" si="0"/>
        <v>3.9122117877613118</v>
      </c>
      <c r="I18" s="3" t="s">
        <v>34</v>
      </c>
      <c r="J18" s="3">
        <v>0.76</v>
      </c>
      <c r="K18" s="3">
        <f t="shared" si="1"/>
        <v>2.9732809586985969</v>
      </c>
      <c r="L18" s="3">
        <f t="shared" si="2"/>
        <v>20.81296671089018</v>
      </c>
      <c r="M18" s="3">
        <f t="shared" si="3"/>
        <v>90.437394936447603</v>
      </c>
      <c r="N18">
        <v>70.900000000000006</v>
      </c>
      <c r="O18" s="3">
        <f t="shared" si="4"/>
        <v>19.537394936447598</v>
      </c>
    </row>
    <row r="19" spans="1:37" x14ac:dyDescent="0.25">
      <c r="M19" s="13">
        <f>SUM(M7:M18)</f>
        <v>1310.0045664788634</v>
      </c>
      <c r="N19" s="13">
        <f>SUM(N7:N18)</f>
        <v>1129.8000000000002</v>
      </c>
    </row>
    <row r="26" spans="1:37" x14ac:dyDescent="0.25">
      <c r="M26" s="13" t="e">
        <f>SUM(#REF!)</f>
        <v>#REF!</v>
      </c>
      <c r="N26" s="13" t="e">
        <f>SUM(#REF!)</f>
        <v>#REF!</v>
      </c>
    </row>
    <row r="31" spans="1:37" x14ac:dyDescent="0.25">
      <c r="A31" s="16">
        <v>1</v>
      </c>
      <c r="B31" s="16" t="s">
        <v>9</v>
      </c>
      <c r="C31" s="28">
        <v>20</v>
      </c>
      <c r="D31" s="28">
        <v>5</v>
      </c>
      <c r="E31" s="28">
        <v>13</v>
      </c>
      <c r="F31" s="17">
        <v>-34</v>
      </c>
      <c r="G31" s="16">
        <v>15</v>
      </c>
      <c r="H31" s="16">
        <f>0.0023*(E31+17)*G31*(C31-D31)^0.5</f>
        <v>4.0085377633246768</v>
      </c>
      <c r="I31" s="15">
        <v>3.43</v>
      </c>
      <c r="J31" s="18">
        <f>(H31/I31)-1</f>
        <v>0.16866990184392905</v>
      </c>
      <c r="K31" s="31"/>
      <c r="L31" s="3"/>
      <c r="M31" s="3"/>
      <c r="N31" s="3"/>
      <c r="O31" s="3"/>
      <c r="P31" s="3"/>
      <c r="Q31" s="3"/>
      <c r="R31" s="3"/>
      <c r="S31" s="3"/>
      <c r="T31" s="6"/>
      <c r="U31" s="7"/>
      <c r="V31" s="3"/>
      <c r="W31" s="3"/>
      <c r="X31" s="3"/>
      <c r="Y31" s="7"/>
      <c r="Z31" s="3"/>
      <c r="AA31" s="3"/>
      <c r="AB31" s="3"/>
      <c r="AC31" s="3"/>
      <c r="AD31" s="3"/>
      <c r="AE31" s="3"/>
      <c r="AF31" s="3"/>
      <c r="AG31" s="3"/>
      <c r="AH31" s="7"/>
      <c r="AI31" s="3"/>
      <c r="AJ31" s="3"/>
      <c r="AK31" s="3"/>
    </row>
    <row r="32" spans="1:37" ht="35.25" customHeight="1" x14ac:dyDescent="0.25">
      <c r="A32" s="16">
        <v>2</v>
      </c>
      <c r="B32" s="16" t="s">
        <v>9</v>
      </c>
      <c r="C32" s="28">
        <v>15</v>
      </c>
      <c r="D32" s="28">
        <v>6</v>
      </c>
      <c r="E32" s="28">
        <v>11</v>
      </c>
      <c r="F32" s="17">
        <v>-34</v>
      </c>
      <c r="G32" s="16">
        <v>15</v>
      </c>
      <c r="H32" s="16">
        <f t="shared" ref="H32:H55" si="5">0.0023*(E32+17)*G32*(C32-D32)^0.5</f>
        <v>2.8979999999999997</v>
      </c>
      <c r="I32" s="15">
        <v>2.92</v>
      </c>
      <c r="J32" s="18">
        <f t="shared" ref="J32:J55" si="6">(H32/I32)-1</f>
        <v>-7.5342465753425181E-3</v>
      </c>
      <c r="K32" s="31"/>
      <c r="L32" s="3"/>
      <c r="M32" s="3"/>
      <c r="N32" s="3"/>
      <c r="O32" s="3"/>
      <c r="P32" s="3"/>
      <c r="Q32" s="3"/>
      <c r="R32" s="3"/>
      <c r="S32" s="3"/>
      <c r="T32" s="6"/>
      <c r="U32" s="7"/>
      <c r="V32" s="3"/>
      <c r="W32" s="3"/>
      <c r="X32" s="3"/>
      <c r="Y32" s="7"/>
      <c r="Z32" s="3"/>
      <c r="AA32" s="3"/>
      <c r="AB32" s="3"/>
      <c r="AC32" s="3"/>
      <c r="AD32" s="3"/>
      <c r="AE32" s="3"/>
      <c r="AF32" s="3"/>
      <c r="AG32" s="3"/>
      <c r="AH32" s="7"/>
      <c r="AI32" s="3"/>
      <c r="AJ32" s="3"/>
      <c r="AK32" s="3"/>
    </row>
    <row r="33" spans="1:37" ht="15" customHeight="1" x14ac:dyDescent="0.25">
      <c r="A33" s="16">
        <v>3</v>
      </c>
      <c r="B33" s="16" t="s">
        <v>9</v>
      </c>
      <c r="C33" s="28">
        <v>18</v>
      </c>
      <c r="D33" s="28">
        <v>3</v>
      </c>
      <c r="E33" s="28">
        <v>9</v>
      </c>
      <c r="F33" s="17">
        <v>-34</v>
      </c>
      <c r="G33" s="16">
        <v>15</v>
      </c>
      <c r="H33" s="16">
        <f t="shared" si="5"/>
        <v>3.474066061548053</v>
      </c>
      <c r="I33" s="15">
        <v>2.77</v>
      </c>
      <c r="J33" s="18">
        <f t="shared" si="6"/>
        <v>0.25417547348305169</v>
      </c>
      <c r="K33" s="31"/>
      <c r="L33" s="3"/>
      <c r="M33" s="3"/>
      <c r="N33" s="3"/>
      <c r="O33" s="3"/>
      <c r="P33" s="3"/>
      <c r="Q33" s="3"/>
      <c r="R33" s="3"/>
      <c r="S33" s="3"/>
      <c r="T33" s="6"/>
      <c r="U33" s="7"/>
      <c r="V33" s="3"/>
      <c r="W33" s="3"/>
      <c r="X33" s="3"/>
      <c r="Y33" s="7"/>
      <c r="Z33" s="3"/>
      <c r="AA33" s="3"/>
      <c r="AB33" s="3"/>
      <c r="AC33" s="3"/>
      <c r="AD33" s="3"/>
      <c r="AE33" s="3"/>
      <c r="AF33" s="3"/>
      <c r="AG33" s="3"/>
      <c r="AH33" s="7"/>
      <c r="AI33" s="3"/>
      <c r="AJ33" s="3"/>
      <c r="AK33" s="3"/>
    </row>
    <row r="34" spans="1:37" ht="15" customHeight="1" x14ac:dyDescent="0.25">
      <c r="A34" s="16">
        <v>4</v>
      </c>
      <c r="B34" s="16" t="s">
        <v>9</v>
      </c>
      <c r="C34" s="28">
        <v>18</v>
      </c>
      <c r="D34" s="28">
        <v>5</v>
      </c>
      <c r="E34" s="28">
        <v>10</v>
      </c>
      <c r="F34" s="17">
        <v>-34</v>
      </c>
      <c r="G34" s="16">
        <v>15</v>
      </c>
      <c r="H34" s="16">
        <f t="shared" si="5"/>
        <v>3.3585710130947057</v>
      </c>
      <c r="I34" s="15">
        <v>2.54</v>
      </c>
      <c r="J34" s="18">
        <f t="shared" si="6"/>
        <v>0.32227205239949042</v>
      </c>
      <c r="K34" s="31"/>
      <c r="L34" s="3"/>
      <c r="M34" s="3"/>
      <c r="N34" s="3"/>
      <c r="O34" s="3"/>
      <c r="P34" s="3"/>
      <c r="Q34" s="3"/>
      <c r="R34" s="3"/>
      <c r="S34" s="3"/>
      <c r="T34" s="6"/>
      <c r="U34" s="7"/>
      <c r="V34" s="3"/>
      <c r="W34" s="3"/>
      <c r="X34" s="3"/>
      <c r="Y34" s="7"/>
      <c r="Z34" s="3"/>
      <c r="AA34" s="3"/>
      <c r="AB34" s="3"/>
      <c r="AC34" s="3"/>
      <c r="AD34" s="3"/>
      <c r="AE34" s="3"/>
      <c r="AF34" s="3"/>
      <c r="AG34" s="3"/>
      <c r="AH34" s="7"/>
      <c r="AI34" s="3"/>
      <c r="AJ34" s="3"/>
      <c r="AK34" s="3"/>
    </row>
    <row r="35" spans="1:37" x14ac:dyDescent="0.25">
      <c r="A35" s="16">
        <v>5</v>
      </c>
      <c r="B35" s="16" t="s">
        <v>9</v>
      </c>
      <c r="C35" s="28">
        <v>20</v>
      </c>
      <c r="D35" s="28">
        <v>8</v>
      </c>
      <c r="E35" s="28">
        <v>15</v>
      </c>
      <c r="F35" s="17">
        <v>-34</v>
      </c>
      <c r="G35" s="16">
        <v>15</v>
      </c>
      <c r="H35" s="16">
        <f t="shared" si="5"/>
        <v>3.8243681831120813</v>
      </c>
      <c r="I35" s="15">
        <v>3.39</v>
      </c>
      <c r="J35" s="18">
        <f t="shared" si="6"/>
        <v>0.1281322074076936</v>
      </c>
      <c r="K35" s="31"/>
      <c r="L35" s="3"/>
      <c r="M35" s="3"/>
      <c r="N35" s="3"/>
      <c r="O35" s="3"/>
      <c r="P35" s="3"/>
      <c r="Q35" s="3"/>
      <c r="R35" s="3"/>
      <c r="S35" s="3"/>
      <c r="T35" s="6"/>
      <c r="U35" s="7"/>
      <c r="V35" s="3"/>
      <c r="W35" s="3"/>
      <c r="X35" s="3"/>
      <c r="Y35" s="7"/>
      <c r="Z35" s="3"/>
      <c r="AA35" s="3"/>
      <c r="AB35" s="3"/>
      <c r="AC35" s="3"/>
      <c r="AD35" s="3"/>
      <c r="AE35" s="3"/>
      <c r="AF35" s="3"/>
      <c r="AG35" s="3"/>
      <c r="AH35" s="7"/>
      <c r="AI35" s="3"/>
      <c r="AJ35" s="3"/>
      <c r="AK35" s="3"/>
    </row>
    <row r="36" spans="1:37" x14ac:dyDescent="0.25">
      <c r="A36" s="16">
        <v>6</v>
      </c>
      <c r="B36" s="16" t="s">
        <v>9</v>
      </c>
      <c r="C36" s="28">
        <v>23</v>
      </c>
      <c r="D36" s="28">
        <v>5</v>
      </c>
      <c r="E36" s="28">
        <v>13</v>
      </c>
      <c r="F36" s="17">
        <v>-34</v>
      </c>
      <c r="G36" s="16">
        <v>15</v>
      </c>
      <c r="H36" s="16">
        <f t="shared" si="5"/>
        <v>4.3911331111684602</v>
      </c>
      <c r="I36" s="15">
        <v>3.42</v>
      </c>
      <c r="J36" s="18">
        <f t="shared" si="6"/>
        <v>0.28395705004925742</v>
      </c>
      <c r="K36" s="31"/>
      <c r="L36" s="3"/>
      <c r="M36" s="3"/>
      <c r="N36" s="3"/>
      <c r="O36" s="3"/>
      <c r="P36" s="3"/>
      <c r="Q36" s="3"/>
      <c r="R36" s="3"/>
      <c r="S36" s="3"/>
      <c r="T36" s="6"/>
      <c r="U36" s="7"/>
      <c r="V36" s="3"/>
      <c r="W36" s="3"/>
      <c r="X36" s="3"/>
      <c r="Y36" s="7"/>
      <c r="Z36" s="3"/>
      <c r="AA36" s="3"/>
      <c r="AB36" s="3"/>
      <c r="AC36" s="3"/>
      <c r="AD36" s="3"/>
      <c r="AE36" s="3"/>
      <c r="AF36" s="3"/>
      <c r="AG36" s="3"/>
      <c r="AH36" s="7"/>
      <c r="AI36" s="3"/>
      <c r="AJ36" s="3"/>
      <c r="AK36" s="3"/>
    </row>
    <row r="37" spans="1:37" x14ac:dyDescent="0.25">
      <c r="A37" s="16">
        <v>7</v>
      </c>
      <c r="B37" s="16" t="s">
        <v>9</v>
      </c>
      <c r="C37" s="28">
        <v>23</v>
      </c>
      <c r="D37" s="28">
        <v>7</v>
      </c>
      <c r="E37" s="28">
        <v>15</v>
      </c>
      <c r="F37" s="17">
        <v>-34</v>
      </c>
      <c r="G37" s="16">
        <v>15</v>
      </c>
      <c r="H37" s="16">
        <f t="shared" si="5"/>
        <v>4.4160000000000004</v>
      </c>
      <c r="I37" s="15">
        <v>3.49</v>
      </c>
      <c r="J37" s="18">
        <f t="shared" si="6"/>
        <v>0.26532951289398277</v>
      </c>
      <c r="K37" s="31"/>
      <c r="L37" s="3"/>
      <c r="M37" s="3"/>
      <c r="N37" s="3"/>
      <c r="O37" s="3"/>
      <c r="P37" s="3"/>
      <c r="Q37" s="3"/>
      <c r="R37" s="3"/>
      <c r="S37" s="3"/>
      <c r="T37" s="6"/>
      <c r="U37" s="7"/>
      <c r="V37" s="3"/>
      <c r="W37" s="3"/>
      <c r="X37" s="3"/>
      <c r="Y37" s="7"/>
      <c r="Z37" s="3"/>
      <c r="AA37" s="3"/>
      <c r="AB37" s="3"/>
      <c r="AC37" s="3"/>
      <c r="AD37" s="3"/>
      <c r="AE37" s="3"/>
      <c r="AF37" s="3"/>
      <c r="AG37" s="3"/>
      <c r="AH37" s="7"/>
      <c r="AI37" s="3"/>
      <c r="AJ37" s="3"/>
      <c r="AK37" s="3"/>
    </row>
    <row r="38" spans="1:37" x14ac:dyDescent="0.25">
      <c r="A38" s="16">
        <v>8</v>
      </c>
      <c r="B38" s="16" t="s">
        <v>9</v>
      </c>
      <c r="C38" s="28">
        <v>17</v>
      </c>
      <c r="D38" s="28">
        <v>11</v>
      </c>
      <c r="E38" s="28">
        <v>14</v>
      </c>
      <c r="F38" s="17">
        <v>-34</v>
      </c>
      <c r="G38" s="16">
        <v>15</v>
      </c>
      <c r="H38" s="16">
        <f t="shared" si="5"/>
        <v>2.619729279906609</v>
      </c>
      <c r="I38" s="15">
        <v>2.04</v>
      </c>
      <c r="J38" s="18">
        <f t="shared" si="6"/>
        <v>0.2841810195620631</v>
      </c>
      <c r="K38" s="31"/>
      <c r="L38" s="3"/>
      <c r="M38" s="3"/>
      <c r="N38" s="3"/>
      <c r="O38" s="3"/>
      <c r="P38" s="3"/>
      <c r="Q38" s="3"/>
      <c r="R38" s="3"/>
      <c r="S38" s="3"/>
      <c r="T38" s="6"/>
      <c r="U38" s="7"/>
      <c r="V38" s="3"/>
      <c r="W38" s="3"/>
      <c r="X38" s="3"/>
      <c r="Y38" s="7"/>
      <c r="Z38" s="3"/>
      <c r="AA38" s="3"/>
      <c r="AB38" s="3"/>
      <c r="AC38" s="3"/>
      <c r="AD38" s="3"/>
      <c r="AE38" s="3"/>
      <c r="AF38" s="3"/>
      <c r="AG38" s="3"/>
      <c r="AH38" s="7"/>
      <c r="AI38" s="3"/>
      <c r="AJ38" s="3"/>
      <c r="AK38" s="3"/>
    </row>
    <row r="39" spans="1:37" x14ac:dyDescent="0.25">
      <c r="A39" s="16">
        <v>9</v>
      </c>
      <c r="B39" s="16" t="s">
        <v>9</v>
      </c>
      <c r="C39" s="28">
        <v>23</v>
      </c>
      <c r="D39" s="28">
        <v>5</v>
      </c>
      <c r="E39" s="28">
        <v>14</v>
      </c>
      <c r="F39" s="17">
        <v>-34</v>
      </c>
      <c r="G39" s="16">
        <v>15</v>
      </c>
      <c r="H39" s="16">
        <f t="shared" si="5"/>
        <v>4.5375042148740752</v>
      </c>
      <c r="I39" s="15">
        <v>3.42</v>
      </c>
      <c r="J39" s="18">
        <f t="shared" si="6"/>
        <v>0.32675561838423262</v>
      </c>
      <c r="K39" s="31"/>
      <c r="L39" s="3"/>
      <c r="M39" s="3"/>
      <c r="N39" s="3"/>
      <c r="O39" s="3"/>
      <c r="P39" s="3"/>
      <c r="Q39" s="3"/>
      <c r="R39" s="3"/>
      <c r="S39" s="3"/>
      <c r="T39" s="6"/>
      <c r="U39" s="7"/>
      <c r="V39" s="3"/>
      <c r="W39" s="3"/>
      <c r="X39" s="3"/>
      <c r="Y39" s="7"/>
      <c r="Z39" s="3"/>
      <c r="AA39" s="3"/>
      <c r="AB39" s="3"/>
      <c r="AC39" s="3"/>
      <c r="AD39" s="3"/>
      <c r="AE39" s="3"/>
      <c r="AF39" s="3"/>
      <c r="AG39" s="3"/>
      <c r="AH39" s="7"/>
      <c r="AI39" s="3"/>
      <c r="AJ39" s="3"/>
      <c r="AK39" s="3"/>
    </row>
    <row r="40" spans="1:37" x14ac:dyDescent="0.25">
      <c r="A40" s="16">
        <v>10</v>
      </c>
      <c r="B40" s="16" t="s">
        <v>9</v>
      </c>
      <c r="C40" s="28">
        <v>21</v>
      </c>
      <c r="D40" s="28">
        <v>11</v>
      </c>
      <c r="E40" s="28">
        <v>15</v>
      </c>
      <c r="F40" s="17">
        <v>-34</v>
      </c>
      <c r="G40" s="16">
        <v>15</v>
      </c>
      <c r="H40" s="16">
        <f t="shared" si="5"/>
        <v>3.4911545368258912</v>
      </c>
      <c r="I40" s="15">
        <v>3.54</v>
      </c>
      <c r="J40" s="18">
        <f t="shared" si="6"/>
        <v>-1.3798153439013805E-2</v>
      </c>
      <c r="K40" s="31"/>
      <c r="L40" s="3"/>
      <c r="M40" s="3"/>
      <c r="N40" s="3"/>
      <c r="O40" s="3"/>
      <c r="P40" s="3"/>
      <c r="Q40" s="3"/>
      <c r="R40" s="3"/>
      <c r="S40" s="3"/>
      <c r="T40" s="6"/>
      <c r="U40" s="7"/>
      <c r="V40" s="3"/>
      <c r="W40" s="3"/>
      <c r="X40" s="3"/>
      <c r="Y40" s="7"/>
      <c r="Z40" s="3"/>
      <c r="AA40" s="3"/>
      <c r="AB40" s="3"/>
      <c r="AC40" s="3"/>
      <c r="AD40" s="3"/>
      <c r="AE40" s="3"/>
      <c r="AF40" s="3"/>
      <c r="AG40" s="3"/>
      <c r="AH40" s="7"/>
      <c r="AI40" s="3"/>
      <c r="AJ40" s="3"/>
      <c r="AK40" s="3"/>
    </row>
    <row r="41" spans="1:37" x14ac:dyDescent="0.25">
      <c r="A41" s="16">
        <v>11</v>
      </c>
      <c r="B41" s="16" t="s">
        <v>9</v>
      </c>
      <c r="C41" s="28">
        <v>27</v>
      </c>
      <c r="D41" s="28">
        <v>8</v>
      </c>
      <c r="E41" s="28">
        <v>15</v>
      </c>
      <c r="F41" s="17">
        <v>-34</v>
      </c>
      <c r="G41" s="16">
        <v>15</v>
      </c>
      <c r="H41" s="16">
        <f t="shared" si="5"/>
        <v>4.8122244336689048</v>
      </c>
      <c r="I41" s="15">
        <v>3.54</v>
      </c>
      <c r="J41" s="18">
        <f t="shared" si="6"/>
        <v>0.35938543323980365</v>
      </c>
      <c r="K41" s="31"/>
      <c r="L41" s="3"/>
      <c r="M41" s="3"/>
      <c r="N41" s="3"/>
      <c r="O41" s="3"/>
      <c r="P41" s="3"/>
      <c r="Q41" s="3"/>
      <c r="R41" s="3"/>
      <c r="S41" s="3"/>
      <c r="T41" s="6"/>
      <c r="U41" s="7"/>
      <c r="V41" s="3"/>
      <c r="W41" s="3"/>
      <c r="X41" s="3"/>
      <c r="Y41" s="7"/>
      <c r="Z41" s="3"/>
      <c r="AA41" s="3"/>
      <c r="AB41" s="3"/>
      <c r="AC41" s="3"/>
      <c r="AD41" s="3"/>
      <c r="AE41" s="3"/>
      <c r="AF41" s="3"/>
      <c r="AG41" s="3"/>
      <c r="AH41" s="7"/>
      <c r="AI41" s="3"/>
      <c r="AJ41" s="3"/>
      <c r="AK41" s="3"/>
    </row>
    <row r="42" spans="1:37" x14ac:dyDescent="0.25">
      <c r="A42" s="16">
        <v>12</v>
      </c>
      <c r="B42" s="16" t="s">
        <v>9</v>
      </c>
      <c r="C42" s="28">
        <v>19</v>
      </c>
      <c r="D42" s="28">
        <v>10</v>
      </c>
      <c r="E42" s="28">
        <v>14</v>
      </c>
      <c r="F42" s="17">
        <v>-34</v>
      </c>
      <c r="G42" s="16">
        <v>15</v>
      </c>
      <c r="H42" s="16">
        <f t="shared" si="5"/>
        <v>3.2085000000000004</v>
      </c>
      <c r="I42" s="15">
        <v>2.42</v>
      </c>
      <c r="J42" s="18">
        <f t="shared" si="6"/>
        <v>0.32582644628099189</v>
      </c>
      <c r="K42" s="31"/>
      <c r="L42" s="3"/>
      <c r="M42" s="3"/>
      <c r="N42" s="3"/>
      <c r="O42" s="3"/>
      <c r="P42" s="3"/>
      <c r="Q42" s="3"/>
      <c r="R42" s="3"/>
      <c r="S42" s="3"/>
      <c r="T42" s="6"/>
      <c r="U42" s="7"/>
      <c r="V42" s="3"/>
      <c r="W42" s="3"/>
      <c r="X42" s="3"/>
      <c r="Y42" s="7"/>
      <c r="Z42" s="3"/>
      <c r="AA42" s="3"/>
      <c r="AB42" s="3"/>
      <c r="AC42" s="3"/>
      <c r="AD42" s="3"/>
      <c r="AE42" s="3"/>
      <c r="AF42" s="3"/>
      <c r="AG42" s="3"/>
      <c r="AH42" s="7"/>
      <c r="AI42" s="3"/>
      <c r="AJ42" s="3"/>
      <c r="AK42" s="3"/>
    </row>
    <row r="43" spans="1:37" x14ac:dyDescent="0.25">
      <c r="A43" s="16">
        <v>13</v>
      </c>
      <c r="B43" s="16" t="s">
        <v>9</v>
      </c>
      <c r="C43" s="28">
        <v>21</v>
      </c>
      <c r="D43" s="28">
        <v>11</v>
      </c>
      <c r="E43" s="28">
        <v>14</v>
      </c>
      <c r="F43" s="17">
        <v>-34</v>
      </c>
      <c r="G43" s="16">
        <v>15</v>
      </c>
      <c r="H43" s="16">
        <f t="shared" si="5"/>
        <v>3.3820559575500821</v>
      </c>
      <c r="I43" s="15">
        <v>3.16</v>
      </c>
      <c r="J43" s="18">
        <f t="shared" si="6"/>
        <v>7.0270872642431037E-2</v>
      </c>
      <c r="K43" s="31"/>
      <c r="L43" s="3"/>
      <c r="M43" s="3"/>
      <c r="N43" s="3"/>
      <c r="O43" s="3"/>
      <c r="P43" s="3"/>
      <c r="Q43" s="3"/>
      <c r="R43" s="3"/>
      <c r="S43" s="3"/>
      <c r="T43" s="6"/>
      <c r="U43" s="7"/>
      <c r="V43" s="3"/>
      <c r="W43" s="3"/>
      <c r="X43" s="3"/>
      <c r="Y43" s="7"/>
      <c r="Z43" s="3"/>
      <c r="AA43" s="3"/>
      <c r="AB43" s="3"/>
      <c r="AC43" s="3"/>
      <c r="AD43" s="3"/>
      <c r="AE43" s="3"/>
      <c r="AF43" s="3"/>
      <c r="AG43" s="3"/>
      <c r="AH43" s="7"/>
      <c r="AI43" s="3"/>
      <c r="AJ43" s="3"/>
      <c r="AK43" s="3"/>
    </row>
    <row r="44" spans="1:37" x14ac:dyDescent="0.25">
      <c r="A44" s="16">
        <v>14</v>
      </c>
      <c r="B44" s="16" t="s">
        <v>9</v>
      </c>
      <c r="C44" s="28">
        <v>16</v>
      </c>
      <c r="D44" s="28">
        <v>8</v>
      </c>
      <c r="E44" s="28">
        <v>12</v>
      </c>
      <c r="F44" s="17">
        <v>-34</v>
      </c>
      <c r="G44" s="16">
        <v>15</v>
      </c>
      <c r="H44" s="16">
        <f t="shared" si="5"/>
        <v>2.8298413383085634</v>
      </c>
      <c r="I44" s="15">
        <v>3.16</v>
      </c>
      <c r="J44" s="18">
        <f t="shared" si="6"/>
        <v>-0.10448058914285974</v>
      </c>
      <c r="K44" s="31"/>
      <c r="L44" s="3"/>
      <c r="M44" s="3"/>
      <c r="N44" s="3"/>
      <c r="O44" s="3"/>
      <c r="P44" s="3"/>
      <c r="Q44" s="3"/>
      <c r="R44" s="3"/>
      <c r="S44" s="3"/>
      <c r="T44" s="6"/>
      <c r="U44" s="7"/>
      <c r="V44" s="3"/>
      <c r="W44" s="3"/>
      <c r="X44" s="3"/>
      <c r="Y44" s="7"/>
      <c r="Z44" s="3"/>
      <c r="AA44" s="3"/>
      <c r="AB44" s="3"/>
      <c r="AC44" s="3"/>
      <c r="AD44" s="3"/>
      <c r="AE44" s="3"/>
      <c r="AF44" s="3"/>
      <c r="AG44" s="3"/>
      <c r="AH44" s="7"/>
      <c r="AI44" s="3"/>
      <c r="AJ44" s="3"/>
      <c r="AK44" s="3"/>
    </row>
    <row r="45" spans="1:37" x14ac:dyDescent="0.25">
      <c r="A45" s="16">
        <v>15</v>
      </c>
      <c r="B45" s="16" t="s">
        <v>9</v>
      </c>
      <c r="C45" s="28">
        <v>18</v>
      </c>
      <c r="D45" s="28">
        <v>4</v>
      </c>
      <c r="E45" s="28">
        <v>10</v>
      </c>
      <c r="F45" s="17">
        <v>-34</v>
      </c>
      <c r="G45" s="16">
        <v>15</v>
      </c>
      <c r="H45" s="16">
        <f t="shared" si="5"/>
        <v>3.4853538557799264</v>
      </c>
      <c r="I45" s="15">
        <v>3.44</v>
      </c>
      <c r="J45" s="18">
        <f t="shared" si="6"/>
        <v>1.3184260401141401E-2</v>
      </c>
      <c r="K45" s="31"/>
      <c r="L45" s="3"/>
      <c r="M45" s="3"/>
      <c r="N45" s="3"/>
      <c r="O45" s="3"/>
      <c r="P45" s="3"/>
      <c r="Q45" s="3"/>
      <c r="R45" s="3"/>
      <c r="S45" s="3"/>
      <c r="T45" s="6"/>
      <c r="U45" s="7"/>
      <c r="V45" s="3"/>
      <c r="W45" s="3"/>
      <c r="X45" s="3"/>
      <c r="Y45" s="7"/>
      <c r="Z45" s="3"/>
      <c r="AA45" s="3"/>
      <c r="AB45" s="3"/>
      <c r="AC45" s="3"/>
      <c r="AD45" s="3"/>
      <c r="AE45" s="3"/>
      <c r="AF45" s="3"/>
      <c r="AG45" s="3"/>
      <c r="AH45" s="7"/>
      <c r="AI45" s="3"/>
      <c r="AJ45" s="3"/>
      <c r="AK45" s="3"/>
    </row>
    <row r="46" spans="1:37" x14ac:dyDescent="0.25">
      <c r="A46" s="16">
        <v>16</v>
      </c>
      <c r="B46" s="16" t="s">
        <v>9</v>
      </c>
      <c r="C46" s="28">
        <v>21</v>
      </c>
      <c r="D46" s="28">
        <v>5</v>
      </c>
      <c r="E46" s="28">
        <v>12</v>
      </c>
      <c r="F46" s="17">
        <v>-34</v>
      </c>
      <c r="G46" s="16">
        <v>15</v>
      </c>
      <c r="H46" s="16">
        <f t="shared" si="5"/>
        <v>4.0019999999999998</v>
      </c>
      <c r="I46" s="15">
        <v>3.85</v>
      </c>
      <c r="J46" s="18">
        <f t="shared" si="6"/>
        <v>3.9480519480519449E-2</v>
      </c>
      <c r="K46" s="31"/>
      <c r="L46" s="3"/>
      <c r="M46" s="3"/>
      <c r="N46" s="3"/>
      <c r="O46" s="3"/>
      <c r="P46" s="3"/>
      <c r="Q46" s="3"/>
      <c r="R46" s="3"/>
      <c r="S46" s="3"/>
      <c r="T46" s="6"/>
      <c r="U46" s="7"/>
      <c r="V46" s="3"/>
      <c r="W46" s="3"/>
      <c r="X46" s="3"/>
      <c r="Y46" s="7"/>
      <c r="Z46" s="3"/>
      <c r="AA46" s="3"/>
      <c r="AB46" s="3"/>
      <c r="AC46" s="3"/>
      <c r="AD46" s="3"/>
      <c r="AE46" s="3"/>
      <c r="AF46" s="3"/>
      <c r="AG46" s="3"/>
      <c r="AH46" s="7"/>
      <c r="AI46" s="3"/>
      <c r="AJ46" s="3"/>
      <c r="AK46" s="3"/>
    </row>
    <row r="47" spans="1:37" x14ac:dyDescent="0.25">
      <c r="A47" s="16">
        <v>17</v>
      </c>
      <c r="B47" s="16" t="s">
        <v>9</v>
      </c>
      <c r="C47" s="28">
        <v>21</v>
      </c>
      <c r="D47" s="28">
        <v>7</v>
      </c>
      <c r="E47" s="28">
        <v>13</v>
      </c>
      <c r="F47" s="17">
        <v>-34</v>
      </c>
      <c r="G47" s="16">
        <v>15</v>
      </c>
      <c r="H47" s="16">
        <f t="shared" si="5"/>
        <v>3.8726153953110298</v>
      </c>
      <c r="I47" s="15">
        <v>3.35</v>
      </c>
      <c r="J47" s="18">
        <f t="shared" si="6"/>
        <v>0.15600459561523272</v>
      </c>
    </row>
    <row r="48" spans="1:37" x14ac:dyDescent="0.25">
      <c r="A48" s="16">
        <v>18</v>
      </c>
      <c r="B48" s="16" t="s">
        <v>9</v>
      </c>
      <c r="C48" s="28">
        <v>26</v>
      </c>
      <c r="D48" s="28">
        <v>7</v>
      </c>
      <c r="E48" s="28">
        <v>15</v>
      </c>
      <c r="F48" s="17">
        <v>-34</v>
      </c>
      <c r="G48" s="16">
        <v>15</v>
      </c>
      <c r="H48" s="16">
        <f t="shared" si="5"/>
        <v>4.8122244336689048</v>
      </c>
      <c r="I48" s="15">
        <v>3.89</v>
      </c>
      <c r="J48" s="18">
        <f t="shared" si="6"/>
        <v>0.2370756898891786</v>
      </c>
    </row>
    <row r="49" spans="1:28" x14ac:dyDescent="0.25">
      <c r="A49" s="16">
        <v>19</v>
      </c>
      <c r="B49" s="16" t="s">
        <v>9</v>
      </c>
      <c r="C49" s="28">
        <v>30</v>
      </c>
      <c r="D49" s="28">
        <v>10</v>
      </c>
      <c r="E49" s="28">
        <v>18</v>
      </c>
      <c r="F49" s="17">
        <v>-34</v>
      </c>
      <c r="G49" s="16">
        <v>15</v>
      </c>
      <c r="H49" s="16">
        <f t="shared" si="5"/>
        <v>5.4001041656619924</v>
      </c>
      <c r="I49" s="15">
        <v>4.4400000000000004</v>
      </c>
      <c r="J49" s="18">
        <f t="shared" si="6"/>
        <v>0.21623967695089918</v>
      </c>
    </row>
    <row r="50" spans="1:28" x14ac:dyDescent="0.25">
      <c r="A50" s="16">
        <v>20</v>
      </c>
      <c r="B50" s="16" t="s">
        <v>9</v>
      </c>
      <c r="C50" s="28">
        <v>20</v>
      </c>
      <c r="D50" s="28">
        <v>10</v>
      </c>
      <c r="E50" s="28">
        <v>14</v>
      </c>
      <c r="F50" s="17">
        <v>-34</v>
      </c>
      <c r="G50" s="16">
        <v>15</v>
      </c>
      <c r="H50" s="16">
        <f t="shared" si="5"/>
        <v>3.3820559575500821</v>
      </c>
      <c r="I50" s="15">
        <v>1.46</v>
      </c>
      <c r="J50" s="18">
        <f t="shared" si="6"/>
        <v>1.3164766832534811</v>
      </c>
    </row>
    <row r="51" spans="1:28" x14ac:dyDescent="0.25">
      <c r="A51" s="16">
        <v>21</v>
      </c>
      <c r="B51" s="16" t="s">
        <v>9</v>
      </c>
      <c r="C51" s="28">
        <v>17</v>
      </c>
      <c r="D51" s="28">
        <v>9</v>
      </c>
      <c r="E51" s="28">
        <v>13</v>
      </c>
      <c r="F51" s="17">
        <v>-34</v>
      </c>
      <c r="G51" s="16">
        <v>15</v>
      </c>
      <c r="H51" s="16">
        <f t="shared" si="5"/>
        <v>2.9274220741123074</v>
      </c>
      <c r="I51" s="15">
        <v>2.5299999999999998</v>
      </c>
      <c r="J51" s="18">
        <f t="shared" si="6"/>
        <v>0.15708382375980534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1:28" x14ac:dyDescent="0.25">
      <c r="A52" s="16">
        <v>22</v>
      </c>
      <c r="B52" s="16" t="s">
        <v>9</v>
      </c>
      <c r="C52" s="28">
        <v>20</v>
      </c>
      <c r="D52" s="28">
        <v>8</v>
      </c>
      <c r="E52" s="28">
        <v>14</v>
      </c>
      <c r="F52" s="17">
        <v>-34</v>
      </c>
      <c r="G52" s="16">
        <v>15</v>
      </c>
      <c r="H52" s="16">
        <f t="shared" si="5"/>
        <v>3.7048566773898286</v>
      </c>
      <c r="I52" s="15">
        <v>3.62</v>
      </c>
      <c r="J52" s="18">
        <f t="shared" si="6"/>
        <v>2.3441071102162647E-2</v>
      </c>
    </row>
    <row r="53" spans="1:28" x14ac:dyDescent="0.25">
      <c r="A53" s="16">
        <v>23</v>
      </c>
      <c r="B53" s="16" t="s">
        <v>9</v>
      </c>
      <c r="C53" s="28">
        <v>21</v>
      </c>
      <c r="D53" s="28">
        <v>5</v>
      </c>
      <c r="E53" s="28">
        <v>13</v>
      </c>
      <c r="F53" s="17">
        <v>-34</v>
      </c>
      <c r="G53" s="16">
        <v>15</v>
      </c>
      <c r="H53" s="16">
        <f t="shared" si="5"/>
        <v>4.1400000000000006</v>
      </c>
      <c r="I53" s="15">
        <v>4.01</v>
      </c>
      <c r="J53" s="18">
        <f t="shared" si="6"/>
        <v>3.2418952618453956E-2</v>
      </c>
    </row>
    <row r="54" spans="1:28" x14ac:dyDescent="0.25">
      <c r="A54" s="16">
        <v>24</v>
      </c>
      <c r="B54" s="16" t="s">
        <v>9</v>
      </c>
      <c r="C54" s="28">
        <v>26</v>
      </c>
      <c r="D54" s="28">
        <v>7</v>
      </c>
      <c r="E54" s="28">
        <v>16</v>
      </c>
      <c r="F54" s="17">
        <v>-34</v>
      </c>
      <c r="G54" s="16">
        <v>15</v>
      </c>
      <c r="H54" s="16">
        <f t="shared" si="5"/>
        <v>4.9626064472210567</v>
      </c>
      <c r="I54" s="15">
        <v>4.4800000000000004</v>
      </c>
      <c r="J54" s="18">
        <f t="shared" si="6"/>
        <v>0.1077246533975571</v>
      </c>
    </row>
    <row r="55" spans="1:28" x14ac:dyDescent="0.25">
      <c r="A55" s="16">
        <v>25</v>
      </c>
      <c r="B55" s="16" t="s">
        <v>9</v>
      </c>
      <c r="C55" s="28">
        <v>27</v>
      </c>
      <c r="D55" s="28">
        <v>10</v>
      </c>
      <c r="E55" s="28">
        <v>18</v>
      </c>
      <c r="F55" s="17">
        <v>-34</v>
      </c>
      <c r="G55" s="16">
        <v>15</v>
      </c>
      <c r="H55" s="16">
        <f t="shared" si="5"/>
        <v>4.9786500429333254</v>
      </c>
      <c r="I55" s="15">
        <v>5.07</v>
      </c>
      <c r="J55" s="18">
        <f t="shared" si="6"/>
        <v>-1.8017743011178533E-2</v>
      </c>
    </row>
    <row r="56" spans="1:28" x14ac:dyDescent="0.25">
      <c r="A56" s="32">
        <v>26</v>
      </c>
      <c r="B56" s="16" t="s">
        <v>9</v>
      </c>
      <c r="C56" s="28">
        <v>23</v>
      </c>
      <c r="D56" s="28">
        <v>10</v>
      </c>
      <c r="E56" s="28">
        <v>16</v>
      </c>
      <c r="F56" s="17">
        <v>-34</v>
      </c>
      <c r="G56" s="16">
        <v>15</v>
      </c>
      <c r="H56" s="16"/>
      <c r="I56" s="3"/>
      <c r="J56" s="18"/>
    </row>
    <row r="57" spans="1:28" x14ac:dyDescent="0.25">
      <c r="A57" s="14"/>
      <c r="H57" s="25">
        <f>SUM(H31:H56)</f>
        <v>96.919574943010531</v>
      </c>
      <c r="I57">
        <f>SUM(I31:I55)</f>
        <v>83.38</v>
      </c>
      <c r="J57" s="18">
        <f>(H57/I57)-1</f>
        <v>0.16238396429612068</v>
      </c>
    </row>
    <row r="58" spans="1:28" x14ac:dyDescent="0.25">
      <c r="A58" s="14"/>
    </row>
    <row r="62" spans="1:28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8" x14ac:dyDescent="0.25">
      <c r="C63" s="21"/>
      <c r="D63" s="23"/>
      <c r="E63" s="24"/>
      <c r="F63" s="20"/>
    </row>
    <row r="64" spans="1:28" x14ac:dyDescent="0.25">
      <c r="B64" s="14"/>
      <c r="C64" s="20"/>
      <c r="D64" s="20"/>
      <c r="E64" s="20"/>
      <c r="F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2:41" x14ac:dyDescent="0.25">
      <c r="B65" s="14"/>
      <c r="C65" s="20"/>
      <c r="D65" s="20"/>
      <c r="E65" s="20"/>
      <c r="F65" s="20"/>
    </row>
    <row r="66" spans="2:41" x14ac:dyDescent="0.25">
      <c r="B66" s="14"/>
      <c r="C66" s="20"/>
      <c r="D66" s="20"/>
      <c r="E66" s="20"/>
      <c r="F66" s="20"/>
    </row>
    <row r="67" spans="2:41" x14ac:dyDescent="0.25">
      <c r="B67" s="14"/>
      <c r="C67" s="20"/>
      <c r="D67" s="20"/>
      <c r="E67" s="20"/>
      <c r="F67" s="20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2"/>
    </row>
    <row r="68" spans="2:41" x14ac:dyDescent="0.25">
      <c r="B68" s="14"/>
      <c r="C68" s="20"/>
      <c r="D68" s="20"/>
      <c r="E68" s="20"/>
      <c r="F68" s="20"/>
      <c r="J68" s="2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2"/>
    </row>
    <row r="69" spans="2:41" x14ac:dyDescent="0.25">
      <c r="B69" s="14"/>
      <c r="C69" s="20"/>
      <c r="D69" s="20"/>
      <c r="E69" s="20"/>
      <c r="F69" s="20"/>
      <c r="J69" s="24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19"/>
    </row>
    <row r="70" spans="2:41" x14ac:dyDescent="0.25">
      <c r="B70" s="14"/>
      <c r="C70" s="20"/>
      <c r="D70" s="20"/>
      <c r="E70" s="20"/>
      <c r="F70" s="20"/>
    </row>
    <row r="71" spans="2:41" x14ac:dyDescent="0.25">
      <c r="B71" s="14"/>
      <c r="C71" s="20"/>
      <c r="D71" s="20"/>
      <c r="E71" s="20"/>
      <c r="F71" s="20"/>
    </row>
    <row r="72" spans="2:41" x14ac:dyDescent="0.25">
      <c r="B72" s="14"/>
      <c r="C72" s="20"/>
      <c r="D72" s="20"/>
      <c r="E72" s="20"/>
      <c r="F72" s="20"/>
    </row>
    <row r="73" spans="2:41" x14ac:dyDescent="0.25">
      <c r="B73" s="14"/>
      <c r="C73" s="20"/>
      <c r="D73" s="20"/>
      <c r="E73" s="20"/>
      <c r="F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2:41" x14ac:dyDescent="0.25">
      <c r="B74" s="14"/>
      <c r="C74" s="20"/>
      <c r="D74" s="20"/>
      <c r="E74" s="20"/>
      <c r="F74" s="20"/>
      <c r="H74" s="20"/>
    </row>
    <row r="75" spans="2:41" x14ac:dyDescent="0.25">
      <c r="B75" s="14"/>
      <c r="C75" s="20"/>
      <c r="D75" s="20"/>
      <c r="E75" s="20"/>
      <c r="F75" s="20"/>
      <c r="H75" s="20"/>
    </row>
    <row r="76" spans="2:41" x14ac:dyDescent="0.25">
      <c r="B76" s="14"/>
      <c r="C76" s="20"/>
      <c r="D76" s="20"/>
      <c r="E76" s="20"/>
      <c r="F76" s="20"/>
      <c r="H76" s="20"/>
    </row>
    <row r="77" spans="2:41" x14ac:dyDescent="0.25">
      <c r="B77" s="14"/>
      <c r="C77" s="20"/>
      <c r="D77" s="20"/>
      <c r="E77" s="20"/>
      <c r="F77" s="20"/>
      <c r="H77" s="20"/>
    </row>
    <row r="78" spans="2:41" x14ac:dyDescent="0.25">
      <c r="B78" s="14"/>
      <c r="C78" s="20"/>
      <c r="D78" s="20"/>
      <c r="E78" s="20"/>
      <c r="F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2:41" x14ac:dyDescent="0.25">
      <c r="B79" s="14"/>
      <c r="C79" s="20"/>
      <c r="D79" s="20"/>
      <c r="E79" s="20"/>
      <c r="H79" s="20"/>
    </row>
    <row r="80" spans="2:41" x14ac:dyDescent="0.25">
      <c r="B80" s="14"/>
      <c r="C80" s="20"/>
      <c r="D80" s="20"/>
      <c r="E80" s="20"/>
      <c r="H80" s="20"/>
      <c r="I80" s="3"/>
      <c r="J80" s="241" t="s">
        <v>128</v>
      </c>
      <c r="K80" s="242"/>
      <c r="L80" s="242"/>
      <c r="M80" s="242"/>
      <c r="N80" s="242"/>
      <c r="O80" s="242"/>
      <c r="P80" s="242"/>
      <c r="Q80" s="243"/>
    </row>
    <row r="81" spans="2:17" ht="25.5" x14ac:dyDescent="0.25">
      <c r="B81" s="14"/>
      <c r="C81" s="20"/>
      <c r="D81" s="20"/>
      <c r="E81" s="20"/>
      <c r="H81" s="20"/>
      <c r="I81" s="26" t="s">
        <v>129</v>
      </c>
      <c r="J81" s="26" t="s">
        <v>63</v>
      </c>
      <c r="K81" s="26" t="s">
        <v>64</v>
      </c>
      <c r="L81" s="26" t="s">
        <v>65</v>
      </c>
      <c r="M81" s="26" t="s">
        <v>66</v>
      </c>
      <c r="N81" s="26" t="s">
        <v>67</v>
      </c>
      <c r="O81" s="26" t="s">
        <v>68</v>
      </c>
      <c r="P81" s="26" t="s">
        <v>69</v>
      </c>
      <c r="Q81" s="26" t="s">
        <v>70</v>
      </c>
    </row>
    <row r="82" spans="2:17" x14ac:dyDescent="0.25">
      <c r="B82" s="14"/>
      <c r="C82" s="20"/>
      <c r="D82" s="20"/>
      <c r="E82" s="20"/>
      <c r="H82" s="20"/>
      <c r="I82" s="30">
        <v>3.43</v>
      </c>
      <c r="J82" s="27">
        <v>1</v>
      </c>
      <c r="K82" s="28">
        <v>13</v>
      </c>
      <c r="L82" s="28">
        <v>20</v>
      </c>
      <c r="M82" s="28">
        <v>5</v>
      </c>
      <c r="N82" s="27" t="s">
        <v>72</v>
      </c>
      <c r="O82" s="27" t="s">
        <v>73</v>
      </c>
      <c r="P82" s="27" t="s">
        <v>74</v>
      </c>
      <c r="Q82" s="29" t="s">
        <v>75</v>
      </c>
    </row>
    <row r="83" spans="2:17" x14ac:dyDescent="0.25">
      <c r="B83" s="14"/>
      <c r="C83" s="20"/>
      <c r="D83" s="20"/>
      <c r="E83" s="20"/>
      <c r="H83" s="20"/>
      <c r="I83" s="30">
        <v>2.92</v>
      </c>
      <c r="J83" s="27">
        <v>2</v>
      </c>
      <c r="K83" s="28">
        <v>11</v>
      </c>
      <c r="L83" s="28">
        <v>15</v>
      </c>
      <c r="M83" s="28">
        <v>6</v>
      </c>
      <c r="N83" s="27" t="s">
        <v>77</v>
      </c>
      <c r="O83" s="27" t="s">
        <v>73</v>
      </c>
      <c r="P83" s="27" t="s">
        <v>78</v>
      </c>
      <c r="Q83" s="29" t="s">
        <v>75</v>
      </c>
    </row>
    <row r="84" spans="2:17" x14ac:dyDescent="0.25">
      <c r="B84" s="14"/>
      <c r="C84" s="20"/>
      <c r="D84" s="20"/>
      <c r="E84" s="20"/>
      <c r="H84" s="20"/>
      <c r="I84" s="30">
        <v>2.77</v>
      </c>
      <c r="J84" s="27">
        <v>3</v>
      </c>
      <c r="K84" s="28">
        <v>9</v>
      </c>
      <c r="L84" s="28">
        <v>18</v>
      </c>
      <c r="M84" s="28">
        <v>3</v>
      </c>
      <c r="N84" s="27" t="s">
        <v>81</v>
      </c>
      <c r="O84" s="27" t="s">
        <v>73</v>
      </c>
      <c r="P84" s="27" t="s">
        <v>82</v>
      </c>
      <c r="Q84" s="29" t="s">
        <v>75</v>
      </c>
    </row>
    <row r="85" spans="2:17" x14ac:dyDescent="0.25">
      <c r="B85" s="14"/>
      <c r="C85" s="20"/>
      <c r="D85" s="20"/>
      <c r="E85" s="20"/>
      <c r="H85" s="20"/>
      <c r="I85" s="30">
        <v>2.54</v>
      </c>
      <c r="J85" s="27">
        <v>4</v>
      </c>
      <c r="K85" s="28">
        <v>10</v>
      </c>
      <c r="L85" s="28">
        <v>18</v>
      </c>
      <c r="M85" s="28">
        <v>5</v>
      </c>
      <c r="N85" s="27" t="s">
        <v>84</v>
      </c>
      <c r="O85" s="27" t="s">
        <v>73</v>
      </c>
      <c r="P85" s="27" t="s">
        <v>85</v>
      </c>
      <c r="Q85" s="29" t="s">
        <v>75</v>
      </c>
    </row>
    <row r="86" spans="2:17" x14ac:dyDescent="0.25">
      <c r="B86" s="14"/>
      <c r="C86" s="20"/>
      <c r="D86" s="20"/>
      <c r="E86" s="20"/>
      <c r="H86" s="20"/>
      <c r="I86" s="30">
        <v>3.39</v>
      </c>
      <c r="J86" s="27">
        <v>5</v>
      </c>
      <c r="K86" s="28">
        <v>15</v>
      </c>
      <c r="L86" s="28">
        <v>20</v>
      </c>
      <c r="M86" s="28">
        <v>8</v>
      </c>
      <c r="N86" s="27" t="s">
        <v>86</v>
      </c>
      <c r="O86" s="27" t="s">
        <v>73</v>
      </c>
      <c r="P86" s="27" t="s">
        <v>87</v>
      </c>
      <c r="Q86" s="29" t="s">
        <v>75</v>
      </c>
    </row>
    <row r="87" spans="2:17" x14ac:dyDescent="0.25">
      <c r="B87" s="14"/>
      <c r="C87" s="20"/>
      <c r="D87" s="20"/>
      <c r="E87" s="20"/>
      <c r="H87" s="20"/>
      <c r="I87" s="30">
        <v>3.42</v>
      </c>
      <c r="J87" s="27">
        <v>6</v>
      </c>
      <c r="K87" s="28">
        <v>13</v>
      </c>
      <c r="L87" s="28">
        <v>23</v>
      </c>
      <c r="M87" s="28">
        <v>5</v>
      </c>
      <c r="N87" s="27" t="s">
        <v>88</v>
      </c>
      <c r="O87" s="27" t="s">
        <v>73</v>
      </c>
      <c r="P87" s="27" t="s">
        <v>89</v>
      </c>
      <c r="Q87" s="29" t="s">
        <v>75</v>
      </c>
    </row>
    <row r="88" spans="2:17" x14ac:dyDescent="0.25">
      <c r="B88" s="14"/>
      <c r="C88" s="20"/>
      <c r="D88" s="20"/>
      <c r="E88" s="20"/>
      <c r="H88" s="20"/>
      <c r="I88" s="30">
        <v>3.49</v>
      </c>
      <c r="J88" s="27">
        <v>7</v>
      </c>
      <c r="K88" s="28">
        <v>15</v>
      </c>
      <c r="L88" s="28">
        <v>23</v>
      </c>
      <c r="M88" s="28">
        <v>7</v>
      </c>
      <c r="N88" s="27" t="s">
        <v>90</v>
      </c>
      <c r="O88" s="27" t="s">
        <v>73</v>
      </c>
      <c r="P88" s="27" t="s">
        <v>91</v>
      </c>
      <c r="Q88" s="29" t="s">
        <v>75</v>
      </c>
    </row>
    <row r="89" spans="2:17" x14ac:dyDescent="0.25">
      <c r="C89" s="20"/>
      <c r="D89" s="20"/>
      <c r="E89" s="20"/>
      <c r="H89" s="20"/>
      <c r="I89" s="30">
        <v>2.04</v>
      </c>
      <c r="J89" s="27">
        <v>8</v>
      </c>
      <c r="K89" s="28">
        <v>14</v>
      </c>
      <c r="L89" s="28">
        <v>17</v>
      </c>
      <c r="M89" s="28">
        <v>11</v>
      </c>
      <c r="N89" s="27" t="s">
        <v>94</v>
      </c>
      <c r="O89" s="27" t="s">
        <v>73</v>
      </c>
      <c r="P89" s="27" t="s">
        <v>95</v>
      </c>
      <c r="Q89" s="29" t="s">
        <v>75</v>
      </c>
    </row>
    <row r="90" spans="2:17" x14ac:dyDescent="0.25">
      <c r="C90" s="20"/>
      <c r="D90" s="20"/>
      <c r="E90" s="20"/>
      <c r="H90" s="20"/>
      <c r="I90" s="30">
        <v>3.42</v>
      </c>
      <c r="J90" s="27">
        <v>9</v>
      </c>
      <c r="K90" s="28">
        <v>14</v>
      </c>
      <c r="L90" s="28">
        <v>23</v>
      </c>
      <c r="M90" s="28">
        <v>5</v>
      </c>
      <c r="N90" s="27" t="s">
        <v>96</v>
      </c>
      <c r="O90" s="27" t="s">
        <v>73</v>
      </c>
      <c r="P90" s="27" t="s">
        <v>97</v>
      </c>
      <c r="Q90" s="29" t="s">
        <v>75</v>
      </c>
    </row>
    <row r="91" spans="2:17" x14ac:dyDescent="0.25">
      <c r="C91" s="20"/>
      <c r="D91" s="20"/>
      <c r="E91" s="20"/>
      <c r="H91" s="20"/>
      <c r="I91" s="30">
        <v>3.54</v>
      </c>
      <c r="J91" s="27">
        <v>10</v>
      </c>
      <c r="K91" s="28">
        <v>15</v>
      </c>
      <c r="L91" s="28">
        <v>21</v>
      </c>
      <c r="M91" s="28">
        <v>11</v>
      </c>
      <c r="N91" s="27" t="s">
        <v>99</v>
      </c>
      <c r="O91" s="27" t="s">
        <v>73</v>
      </c>
      <c r="P91" s="27" t="s">
        <v>100</v>
      </c>
      <c r="Q91" s="29" t="s">
        <v>75</v>
      </c>
    </row>
    <row r="92" spans="2:17" x14ac:dyDescent="0.25">
      <c r="C92" s="20"/>
      <c r="D92" s="20"/>
      <c r="E92" s="20"/>
      <c r="H92" s="20"/>
      <c r="I92" s="30">
        <v>3.54</v>
      </c>
      <c r="J92" s="27">
        <v>11</v>
      </c>
      <c r="K92" s="28">
        <v>15</v>
      </c>
      <c r="L92" s="28">
        <v>27</v>
      </c>
      <c r="M92" s="28">
        <v>8</v>
      </c>
      <c r="N92" s="27" t="s">
        <v>101</v>
      </c>
      <c r="O92" s="27" t="s">
        <v>73</v>
      </c>
      <c r="P92" s="27" t="s">
        <v>102</v>
      </c>
      <c r="Q92" s="29" t="s">
        <v>75</v>
      </c>
    </row>
    <row r="93" spans="2:17" x14ac:dyDescent="0.25">
      <c r="C93" s="20"/>
      <c r="D93" s="20"/>
      <c r="E93" s="20"/>
      <c r="H93" s="20"/>
      <c r="I93" s="30">
        <v>2.42</v>
      </c>
      <c r="J93" s="27">
        <v>12</v>
      </c>
      <c r="K93" s="28">
        <v>14</v>
      </c>
      <c r="L93" s="28">
        <v>19</v>
      </c>
      <c r="M93" s="28">
        <v>10</v>
      </c>
      <c r="N93" s="27" t="s">
        <v>104</v>
      </c>
      <c r="O93" s="27" t="s">
        <v>73</v>
      </c>
      <c r="P93" s="27" t="s">
        <v>87</v>
      </c>
      <c r="Q93" s="29" t="s">
        <v>75</v>
      </c>
    </row>
    <row r="94" spans="2:17" x14ac:dyDescent="0.25">
      <c r="H94" s="20"/>
      <c r="I94" s="30">
        <v>3.16</v>
      </c>
      <c r="J94" s="27">
        <v>13</v>
      </c>
      <c r="K94" s="28">
        <v>14</v>
      </c>
      <c r="L94" s="28">
        <v>21</v>
      </c>
      <c r="M94" s="28">
        <v>11</v>
      </c>
      <c r="N94" s="27" t="s">
        <v>105</v>
      </c>
      <c r="O94" s="27" t="s">
        <v>73</v>
      </c>
      <c r="P94" s="27" t="s">
        <v>106</v>
      </c>
      <c r="Q94" s="29" t="s">
        <v>75</v>
      </c>
    </row>
    <row r="95" spans="2:17" x14ac:dyDescent="0.25">
      <c r="H95" s="20"/>
      <c r="I95" s="30">
        <v>3.16</v>
      </c>
      <c r="J95" s="27">
        <v>14</v>
      </c>
      <c r="K95" s="28">
        <v>12</v>
      </c>
      <c r="L95" s="28">
        <v>16</v>
      </c>
      <c r="M95" s="28">
        <v>8</v>
      </c>
      <c r="N95" s="27" t="s">
        <v>108</v>
      </c>
      <c r="O95" s="27" t="s">
        <v>73</v>
      </c>
      <c r="P95" s="27" t="s">
        <v>100</v>
      </c>
      <c r="Q95" s="29" t="s">
        <v>75</v>
      </c>
    </row>
    <row r="96" spans="2:17" x14ac:dyDescent="0.25">
      <c r="H96" s="20"/>
      <c r="I96" s="30">
        <v>3.44</v>
      </c>
      <c r="J96" s="27">
        <v>15</v>
      </c>
      <c r="K96" s="28">
        <v>10</v>
      </c>
      <c r="L96" s="28">
        <v>18</v>
      </c>
      <c r="M96" s="28">
        <v>4</v>
      </c>
      <c r="N96" s="27" t="s">
        <v>109</v>
      </c>
      <c r="O96" s="27" t="s">
        <v>73</v>
      </c>
      <c r="P96" s="27" t="s">
        <v>110</v>
      </c>
      <c r="Q96" s="29" t="s">
        <v>75</v>
      </c>
    </row>
    <row r="97" spans="8:17" x14ac:dyDescent="0.25">
      <c r="H97" s="20"/>
      <c r="I97" s="30">
        <v>3.85</v>
      </c>
      <c r="J97" s="27">
        <v>16</v>
      </c>
      <c r="K97" s="28">
        <v>12</v>
      </c>
      <c r="L97" s="28">
        <v>21</v>
      </c>
      <c r="M97" s="28">
        <v>5</v>
      </c>
      <c r="N97" s="27" t="s">
        <v>84</v>
      </c>
      <c r="O97" s="27" t="s">
        <v>73</v>
      </c>
      <c r="P97" s="27" t="s">
        <v>111</v>
      </c>
      <c r="Q97" s="29" t="s">
        <v>75</v>
      </c>
    </row>
    <row r="98" spans="8:17" x14ac:dyDescent="0.25">
      <c r="H98" s="20"/>
      <c r="I98" s="30">
        <v>3.35</v>
      </c>
      <c r="J98" s="27">
        <v>17</v>
      </c>
      <c r="K98" s="28">
        <v>13</v>
      </c>
      <c r="L98" s="28">
        <v>21</v>
      </c>
      <c r="M98" s="28">
        <v>7</v>
      </c>
      <c r="N98" s="27" t="s">
        <v>81</v>
      </c>
      <c r="O98" s="27" t="s">
        <v>73</v>
      </c>
      <c r="P98" s="27" t="s">
        <v>112</v>
      </c>
      <c r="Q98" s="29" t="s">
        <v>75</v>
      </c>
    </row>
    <row r="99" spans="8:17" x14ac:dyDescent="0.25">
      <c r="H99" s="20"/>
      <c r="I99" s="30">
        <v>3.89</v>
      </c>
      <c r="J99" s="27">
        <v>18</v>
      </c>
      <c r="K99" s="28">
        <v>15</v>
      </c>
      <c r="L99" s="28">
        <v>26</v>
      </c>
      <c r="M99" s="28">
        <v>7</v>
      </c>
      <c r="N99" s="27" t="s">
        <v>113</v>
      </c>
      <c r="O99" s="27" t="s">
        <v>73</v>
      </c>
      <c r="P99" s="27" t="s">
        <v>114</v>
      </c>
      <c r="Q99" s="29" t="s">
        <v>75</v>
      </c>
    </row>
    <row r="100" spans="8:17" x14ac:dyDescent="0.25">
      <c r="H100" s="20"/>
      <c r="I100" s="30">
        <v>4.4400000000000004</v>
      </c>
      <c r="J100" s="27">
        <v>19</v>
      </c>
      <c r="K100" s="28">
        <v>18</v>
      </c>
      <c r="L100" s="28">
        <v>30</v>
      </c>
      <c r="M100" s="28">
        <v>10</v>
      </c>
      <c r="N100" s="27" t="s">
        <v>72</v>
      </c>
      <c r="O100" s="27" t="s">
        <v>73</v>
      </c>
      <c r="P100" s="27" t="s">
        <v>115</v>
      </c>
      <c r="Q100" s="29" t="s">
        <v>75</v>
      </c>
    </row>
    <row r="101" spans="8:17" x14ac:dyDescent="0.25">
      <c r="H101" s="20"/>
      <c r="I101" s="30">
        <v>1.46</v>
      </c>
      <c r="J101" s="27">
        <v>20</v>
      </c>
      <c r="K101" s="28">
        <v>14</v>
      </c>
      <c r="L101" s="28">
        <v>20</v>
      </c>
      <c r="M101" s="28">
        <v>10</v>
      </c>
      <c r="N101" s="27" t="s">
        <v>116</v>
      </c>
      <c r="O101" s="27" t="s">
        <v>73</v>
      </c>
      <c r="P101" s="27" t="s">
        <v>117</v>
      </c>
      <c r="Q101" s="29" t="s">
        <v>75</v>
      </c>
    </row>
    <row r="102" spans="8:17" x14ac:dyDescent="0.25">
      <c r="H102" s="20"/>
      <c r="I102" s="30">
        <v>2.5299999999999998</v>
      </c>
      <c r="J102" s="27">
        <v>21</v>
      </c>
      <c r="K102" s="28">
        <v>13</v>
      </c>
      <c r="L102" s="28">
        <v>17</v>
      </c>
      <c r="M102" s="28">
        <v>9</v>
      </c>
      <c r="N102" s="27" t="s">
        <v>118</v>
      </c>
      <c r="O102" s="27" t="s">
        <v>73</v>
      </c>
      <c r="P102" s="27" t="s">
        <v>119</v>
      </c>
      <c r="Q102" s="29" t="s">
        <v>75</v>
      </c>
    </row>
    <row r="103" spans="8:17" x14ac:dyDescent="0.25">
      <c r="I103" s="30">
        <v>3.62</v>
      </c>
      <c r="J103" s="27">
        <v>22</v>
      </c>
      <c r="K103" s="28">
        <v>14</v>
      </c>
      <c r="L103" s="28">
        <v>20</v>
      </c>
      <c r="M103" s="28">
        <v>8</v>
      </c>
      <c r="N103" s="27" t="s">
        <v>120</v>
      </c>
      <c r="O103" s="27" t="s">
        <v>73</v>
      </c>
      <c r="P103" s="27" t="s">
        <v>121</v>
      </c>
      <c r="Q103" s="29" t="s">
        <v>75</v>
      </c>
    </row>
    <row r="104" spans="8:17" x14ac:dyDescent="0.25">
      <c r="I104" s="30">
        <v>4.01</v>
      </c>
      <c r="J104" s="27">
        <v>23</v>
      </c>
      <c r="K104" s="28">
        <v>13</v>
      </c>
      <c r="L104" s="28">
        <v>21</v>
      </c>
      <c r="M104" s="28">
        <v>5</v>
      </c>
      <c r="N104" s="27" t="s">
        <v>81</v>
      </c>
      <c r="O104" s="27" t="s">
        <v>73</v>
      </c>
      <c r="P104" s="27" t="s">
        <v>122</v>
      </c>
      <c r="Q104" s="29" t="s">
        <v>75</v>
      </c>
    </row>
    <row r="105" spans="8:17" x14ac:dyDescent="0.25">
      <c r="I105" s="30">
        <v>4.4800000000000004</v>
      </c>
      <c r="J105" s="27">
        <v>24</v>
      </c>
      <c r="K105" s="28">
        <v>16</v>
      </c>
      <c r="L105" s="28">
        <v>26</v>
      </c>
      <c r="M105" s="28">
        <v>7</v>
      </c>
      <c r="N105" s="27" t="s">
        <v>123</v>
      </c>
      <c r="O105" s="27" t="s">
        <v>73</v>
      </c>
      <c r="P105" s="27" t="s">
        <v>124</v>
      </c>
      <c r="Q105" s="29" t="s">
        <v>75</v>
      </c>
    </row>
    <row r="106" spans="8:17" x14ac:dyDescent="0.25">
      <c r="I106" s="30">
        <v>5.07</v>
      </c>
      <c r="J106" s="27">
        <v>25</v>
      </c>
      <c r="K106" s="28">
        <v>18</v>
      </c>
      <c r="L106" s="28">
        <v>27</v>
      </c>
      <c r="M106" s="28">
        <v>10</v>
      </c>
      <c r="N106" s="27" t="s">
        <v>125</v>
      </c>
      <c r="O106" s="27" t="s">
        <v>73</v>
      </c>
      <c r="P106" s="27" t="s">
        <v>126</v>
      </c>
      <c r="Q106" s="29" t="s">
        <v>75</v>
      </c>
    </row>
    <row r="107" spans="8:17" x14ac:dyDescent="0.25">
      <c r="I107" s="3"/>
      <c r="J107" s="27">
        <v>26</v>
      </c>
      <c r="K107" s="28">
        <v>16</v>
      </c>
      <c r="L107" s="28">
        <v>23</v>
      </c>
      <c r="M107" s="28">
        <v>10</v>
      </c>
      <c r="N107" s="27" t="s">
        <v>88</v>
      </c>
      <c r="O107" s="27" t="s">
        <v>73</v>
      </c>
      <c r="P107" s="27" t="s">
        <v>127</v>
      </c>
      <c r="Q107" s="29" t="s">
        <v>75</v>
      </c>
    </row>
  </sheetData>
  <mergeCells count="30">
    <mergeCell ref="AK1:AK2"/>
    <mergeCell ref="A3:A14"/>
    <mergeCell ref="AE1:AE2"/>
    <mergeCell ref="AF1:AF2"/>
    <mergeCell ref="AG1:AG2"/>
    <mergeCell ref="W1:W2"/>
    <mergeCell ref="X1:X2"/>
    <mergeCell ref="AA1:AA2"/>
    <mergeCell ref="AB1:AB2"/>
    <mergeCell ref="R1:R2"/>
    <mergeCell ref="S1:S2"/>
    <mergeCell ref="T1:T2"/>
    <mergeCell ref="U1:U2"/>
    <mergeCell ref="V1:V2"/>
    <mergeCell ref="Y1:Y2"/>
    <mergeCell ref="Z1:Z2"/>
    <mergeCell ref="J80:Q80"/>
    <mergeCell ref="A15:A18"/>
    <mergeCell ref="AH1:AH2"/>
    <mergeCell ref="AI1:AI2"/>
    <mergeCell ref="AJ1:AJ2"/>
    <mergeCell ref="H1:H2"/>
    <mergeCell ref="O1:O2"/>
    <mergeCell ref="P1:P2"/>
    <mergeCell ref="Q1:Q2"/>
    <mergeCell ref="B1:B2"/>
    <mergeCell ref="C1:C2"/>
    <mergeCell ref="D1:D2"/>
    <mergeCell ref="E1:E2"/>
    <mergeCell ref="G1:G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EB5A-70FE-4622-9442-9F7A54AFF5C2}">
  <dimension ref="A1:AK37"/>
  <sheetViews>
    <sheetView topLeftCell="P1" workbookViewId="0">
      <selection activeCell="AD2" sqref="AD2"/>
    </sheetView>
  </sheetViews>
  <sheetFormatPr baseColWidth="10" defaultRowHeight="15" x14ac:dyDescent="0.25"/>
  <cols>
    <col min="13" max="13" width="14.28515625" customWidth="1"/>
    <col min="14" max="14" width="16.140625" bestFit="1" customWidth="1"/>
  </cols>
  <sheetData>
    <row r="1" spans="1:37" ht="47.25" x14ac:dyDescent="0.25">
      <c r="A1" s="263" t="s">
        <v>174</v>
      </c>
      <c r="B1" s="261" t="s">
        <v>12</v>
      </c>
      <c r="C1" s="259" t="s">
        <v>14</v>
      </c>
      <c r="D1" s="259" t="s">
        <v>15</v>
      </c>
      <c r="E1" s="259" t="s">
        <v>13</v>
      </c>
      <c r="F1" s="8"/>
      <c r="G1" s="259" t="s">
        <v>16</v>
      </c>
      <c r="H1" s="259" t="s">
        <v>17</v>
      </c>
      <c r="I1" s="8" t="s">
        <v>168</v>
      </c>
      <c r="J1" s="8" t="s">
        <v>168</v>
      </c>
      <c r="K1" s="8"/>
      <c r="L1" s="8"/>
      <c r="M1" s="8"/>
      <c r="N1" s="8" t="s">
        <v>168</v>
      </c>
      <c r="O1" s="259" t="s">
        <v>18</v>
      </c>
      <c r="P1" s="259" t="s">
        <v>19</v>
      </c>
      <c r="Q1" s="10" t="s">
        <v>169</v>
      </c>
      <c r="R1" s="10" t="s">
        <v>171</v>
      </c>
      <c r="S1" s="259" t="s">
        <v>22</v>
      </c>
      <c r="T1" s="286" t="s">
        <v>23</v>
      </c>
      <c r="U1" s="278" t="s">
        <v>164</v>
      </c>
      <c r="V1" s="280" t="s">
        <v>28</v>
      </c>
      <c r="W1" s="280" t="s">
        <v>29</v>
      </c>
      <c r="X1" s="281" t="s">
        <v>30</v>
      </c>
      <c r="Y1" s="283" t="s">
        <v>165</v>
      </c>
      <c r="Z1" s="275" t="s">
        <v>28</v>
      </c>
      <c r="AA1" s="275" t="s">
        <v>29</v>
      </c>
      <c r="AB1" s="276" t="s">
        <v>30</v>
      </c>
      <c r="AC1" s="72" t="s">
        <v>47</v>
      </c>
      <c r="AD1" s="73" t="s">
        <v>166</v>
      </c>
      <c r="AE1" s="264" t="s">
        <v>36</v>
      </c>
      <c r="AF1" s="76" t="s">
        <v>167</v>
      </c>
      <c r="AG1" s="264" t="s">
        <v>38</v>
      </c>
      <c r="AH1" s="264" t="s">
        <v>39</v>
      </c>
      <c r="AI1" s="264" t="s">
        <v>41</v>
      </c>
      <c r="AJ1" s="77" t="s">
        <v>172</v>
      </c>
      <c r="AK1" s="266" t="s">
        <v>42</v>
      </c>
    </row>
    <row r="2" spans="1:37" ht="32.25" thickBot="1" x14ac:dyDescent="0.3">
      <c r="A2" s="263"/>
      <c r="B2" s="288"/>
      <c r="C2" s="285"/>
      <c r="D2" s="285"/>
      <c r="E2" s="285"/>
      <c r="F2" s="61" t="s">
        <v>31</v>
      </c>
      <c r="G2" s="285"/>
      <c r="H2" s="285"/>
      <c r="I2" s="61" t="s">
        <v>33</v>
      </c>
      <c r="J2" s="61" t="s">
        <v>152</v>
      </c>
      <c r="K2" s="61" t="s">
        <v>24</v>
      </c>
      <c r="L2" s="61" t="s">
        <v>25</v>
      </c>
      <c r="M2" s="61" t="s">
        <v>26</v>
      </c>
      <c r="N2" s="61" t="s">
        <v>32</v>
      </c>
      <c r="O2" s="285"/>
      <c r="P2" s="285"/>
      <c r="Q2" s="10" t="s">
        <v>20</v>
      </c>
      <c r="R2" s="10" t="s">
        <v>21</v>
      </c>
      <c r="S2" s="285"/>
      <c r="T2" s="287"/>
      <c r="U2" s="279"/>
      <c r="V2" s="265"/>
      <c r="W2" s="265"/>
      <c r="X2" s="282"/>
      <c r="Y2" s="284"/>
      <c r="Z2" s="267"/>
      <c r="AA2" s="267"/>
      <c r="AB2" s="277"/>
      <c r="AC2" s="74" t="s">
        <v>60</v>
      </c>
      <c r="AD2" s="75" t="s">
        <v>61</v>
      </c>
      <c r="AE2" s="265"/>
      <c r="AF2" s="76" t="s">
        <v>37</v>
      </c>
      <c r="AG2" s="265"/>
      <c r="AH2" s="265"/>
      <c r="AI2" s="265"/>
      <c r="AJ2" s="77" t="s">
        <v>40</v>
      </c>
      <c r="AK2" s="267"/>
    </row>
    <row r="3" spans="1:37" ht="15.75" thickBot="1" x14ac:dyDescent="0.3">
      <c r="A3" s="116"/>
      <c r="B3" s="48" t="s">
        <v>0</v>
      </c>
      <c r="C3" s="49">
        <v>30.8</v>
      </c>
      <c r="D3" s="62">
        <v>8.1999999999999993</v>
      </c>
      <c r="E3" s="50">
        <v>18.925000000000001</v>
      </c>
      <c r="F3" s="63">
        <v>-34</v>
      </c>
      <c r="G3" s="52">
        <v>17.7</v>
      </c>
      <c r="H3" s="52">
        <v>27</v>
      </c>
      <c r="I3" s="52" t="s">
        <v>34</v>
      </c>
      <c r="J3" s="69" t="s">
        <v>153</v>
      </c>
      <c r="K3" s="52">
        <v>0.77</v>
      </c>
      <c r="L3" s="52">
        <f>H3*K3</f>
        <v>20.79</v>
      </c>
      <c r="M3" s="52">
        <f>H3*K3*7</f>
        <v>145.53</v>
      </c>
      <c r="N3" s="52" t="s">
        <v>158</v>
      </c>
      <c r="O3" s="48">
        <v>9</v>
      </c>
      <c r="P3" s="48">
        <v>4</v>
      </c>
      <c r="Q3" s="52">
        <v>100</v>
      </c>
      <c r="R3" s="52">
        <v>0</v>
      </c>
      <c r="S3" s="48">
        <v>8</v>
      </c>
      <c r="T3" s="64">
        <f>((O3-P3)/100)*Q3*(1-(R3/100))</f>
        <v>5</v>
      </c>
      <c r="U3" s="65">
        <v>0.2</v>
      </c>
      <c r="V3" s="52">
        <f>T3*U3</f>
        <v>1</v>
      </c>
      <c r="W3" s="52">
        <f>V3*10</f>
        <v>10</v>
      </c>
      <c r="X3" s="52">
        <f>M3/W3</f>
        <v>14.553000000000001</v>
      </c>
      <c r="Y3" s="65">
        <v>0.4</v>
      </c>
      <c r="Z3" s="52">
        <f>T3*Y3</f>
        <v>2</v>
      </c>
      <c r="AA3" s="52">
        <f>Z3*10</f>
        <v>20</v>
      </c>
      <c r="AB3" s="52">
        <f>M3/AA3</f>
        <v>7.2765000000000004</v>
      </c>
      <c r="AC3" s="52">
        <v>3</v>
      </c>
      <c r="AD3" s="52">
        <v>1</v>
      </c>
      <c r="AE3" s="52">
        <f>10000/(AC3*AD3)</f>
        <v>3333.3333333333335</v>
      </c>
      <c r="AF3" s="52">
        <v>4</v>
      </c>
      <c r="AG3" s="52">
        <f>AE3*AF3/10000</f>
        <v>1.3333333333333335</v>
      </c>
      <c r="AH3" s="65">
        <v>0.9</v>
      </c>
      <c r="AI3" s="52">
        <f>M3/(AG3*AH3)</f>
        <v>121.27499999999998</v>
      </c>
      <c r="AJ3" s="52">
        <v>80</v>
      </c>
      <c r="AK3" s="53">
        <f>5*AJ3/4</f>
        <v>100</v>
      </c>
    </row>
    <row r="4" spans="1:37" x14ac:dyDescent="0.25">
      <c r="A4" s="269" t="s">
        <v>170</v>
      </c>
      <c r="B4" s="48" t="s">
        <v>0</v>
      </c>
      <c r="C4" s="49">
        <v>30.8</v>
      </c>
      <c r="D4" s="62">
        <v>8.1999999999999993</v>
      </c>
      <c r="E4" s="50">
        <v>18.925000000000001</v>
      </c>
      <c r="F4" s="63">
        <v>-34</v>
      </c>
      <c r="G4" s="52">
        <v>17.7</v>
      </c>
      <c r="H4" s="52">
        <v>24</v>
      </c>
      <c r="I4" s="52" t="s">
        <v>34</v>
      </c>
      <c r="J4" s="69" t="s">
        <v>153</v>
      </c>
      <c r="K4" s="52">
        <v>0.77</v>
      </c>
      <c r="L4" s="52">
        <f>H4*K4</f>
        <v>18.48</v>
      </c>
      <c r="M4" s="52">
        <f>H4*K4*7</f>
        <v>129.36000000000001</v>
      </c>
      <c r="N4" s="52" t="s">
        <v>158</v>
      </c>
      <c r="O4" s="48">
        <v>9</v>
      </c>
      <c r="P4" s="48">
        <v>4</v>
      </c>
      <c r="Q4" s="52">
        <v>100</v>
      </c>
      <c r="R4" s="52">
        <v>0</v>
      </c>
      <c r="S4" s="48">
        <v>8</v>
      </c>
      <c r="T4" s="64">
        <f>((O4-P4)/100)*Q4*(1-(R4/100))</f>
        <v>5</v>
      </c>
      <c r="U4" s="65">
        <v>0.2</v>
      </c>
      <c r="V4" s="52">
        <f>T4*U4</f>
        <v>1</v>
      </c>
      <c r="W4" s="52">
        <f>V4*10</f>
        <v>10</v>
      </c>
      <c r="X4" s="52">
        <f>M4/W4</f>
        <v>12.936000000000002</v>
      </c>
      <c r="Y4" s="65">
        <v>0.4</v>
      </c>
      <c r="Z4" s="52">
        <f>T4*Y4</f>
        <v>2</v>
      </c>
      <c r="AA4" s="52">
        <f>Z4*10</f>
        <v>20</v>
      </c>
      <c r="AB4" s="52">
        <f>M4/AA4</f>
        <v>6.4680000000000009</v>
      </c>
      <c r="AC4" s="52">
        <v>3</v>
      </c>
      <c r="AD4" s="52">
        <v>1</v>
      </c>
      <c r="AE4" s="52">
        <f>10000/(AC4*AD4)</f>
        <v>3333.3333333333335</v>
      </c>
      <c r="AF4" s="52">
        <v>4</v>
      </c>
      <c r="AG4" s="52">
        <f>AE4*AF4/10000</f>
        <v>1.3333333333333335</v>
      </c>
      <c r="AH4" s="65">
        <v>0.9</v>
      </c>
      <c r="AI4" s="52">
        <f>M4/(AG4*AH4)</f>
        <v>107.8</v>
      </c>
      <c r="AJ4" s="52">
        <v>80</v>
      </c>
      <c r="AK4" s="53">
        <f>5*AJ4/4</f>
        <v>100</v>
      </c>
    </row>
    <row r="5" spans="1:37" x14ac:dyDescent="0.25">
      <c r="A5" s="270"/>
      <c r="B5" s="1" t="s">
        <v>62</v>
      </c>
      <c r="C5" s="38">
        <v>30.8</v>
      </c>
      <c r="D5" s="40">
        <v>8.1999999999999993</v>
      </c>
      <c r="E5" s="39">
        <v>18.925000000000001</v>
      </c>
      <c r="F5" s="4">
        <v>-34</v>
      </c>
      <c r="G5" s="3">
        <v>16</v>
      </c>
      <c r="H5" s="3">
        <f t="shared" ref="H5:H15" si="0">0.0023*(E5+17.78)*G5*(C5-D5)^0.5</f>
        <v>6.4213636705853689</v>
      </c>
      <c r="I5" s="3" t="s">
        <v>34</v>
      </c>
      <c r="J5" s="5" t="s">
        <v>154</v>
      </c>
      <c r="K5" s="3">
        <v>0.78</v>
      </c>
      <c r="L5" s="3">
        <f t="shared" ref="L5:L15" si="1">H5*K5</f>
        <v>5.0086636630565877</v>
      </c>
      <c r="M5" s="3">
        <f t="shared" ref="M5:M15" si="2">H5*K5*7</f>
        <v>35.060645641396114</v>
      </c>
      <c r="N5" s="3" t="s">
        <v>159</v>
      </c>
      <c r="O5" s="1">
        <v>14</v>
      </c>
      <c r="P5" s="1">
        <v>6</v>
      </c>
      <c r="Q5" s="3">
        <v>80</v>
      </c>
      <c r="R5" s="3">
        <v>2</v>
      </c>
      <c r="S5" s="1">
        <v>12</v>
      </c>
      <c r="T5" s="6">
        <f t="shared" ref="T5:T15" si="3">((O5-P5)/100)*Q5*(1-(R5/100))</f>
        <v>6.2720000000000002</v>
      </c>
      <c r="U5" s="7">
        <v>0.2</v>
      </c>
      <c r="V5" s="3">
        <f t="shared" ref="V5:V15" si="4">T5*U5</f>
        <v>1.2544000000000002</v>
      </c>
      <c r="W5" s="3">
        <f t="shared" ref="W5:W15" si="5">V5*10</f>
        <v>12.544000000000002</v>
      </c>
      <c r="X5" s="3">
        <f t="shared" ref="X5:X15" si="6">M5/W5</f>
        <v>2.7950132048306848</v>
      </c>
      <c r="Y5" s="7">
        <v>0.4</v>
      </c>
      <c r="Z5" s="3">
        <f t="shared" ref="Z5:Z15" si="7">T5*Y5</f>
        <v>2.5088000000000004</v>
      </c>
      <c r="AA5" s="3">
        <f t="shared" ref="AA5:AA15" si="8">Z5*10</f>
        <v>25.088000000000005</v>
      </c>
      <c r="AB5" s="3">
        <f t="shared" ref="AB5:AB15" si="9">M5/AA5</f>
        <v>1.3975066024153424</v>
      </c>
      <c r="AC5" s="3">
        <v>4</v>
      </c>
      <c r="AD5" s="3">
        <v>2</v>
      </c>
      <c r="AE5" s="3">
        <f t="shared" ref="AE5:AE15" si="10">10000/(AC5*AD5)</f>
        <v>1250</v>
      </c>
      <c r="AF5" s="3">
        <v>4</v>
      </c>
      <c r="AG5" s="3">
        <f t="shared" ref="AG5:AG15" si="11">AE5*AF5/10000</f>
        <v>0.5</v>
      </c>
      <c r="AH5" s="7">
        <v>0.9</v>
      </c>
      <c r="AI5" s="3">
        <f t="shared" ref="AI5:AI15" si="12">M5/(AG5*AH5)</f>
        <v>77.912545869769147</v>
      </c>
      <c r="AJ5" s="3">
        <v>70</v>
      </c>
      <c r="AK5" s="54">
        <f t="shared" ref="AK5:AK15" si="13">5*AJ5/4</f>
        <v>87.5</v>
      </c>
    </row>
    <row r="6" spans="1:37" x14ac:dyDescent="0.25">
      <c r="A6" s="270"/>
      <c r="B6" s="1" t="s">
        <v>2</v>
      </c>
      <c r="C6" s="38">
        <v>30.8</v>
      </c>
      <c r="D6" s="40">
        <v>8.1999999999999993</v>
      </c>
      <c r="E6" s="39">
        <v>18.925000000000001</v>
      </c>
      <c r="F6" s="4">
        <v>-34</v>
      </c>
      <c r="G6" s="3">
        <v>13.5</v>
      </c>
      <c r="H6" s="3">
        <f t="shared" si="0"/>
        <v>5.4180255970564044</v>
      </c>
      <c r="I6" s="3" t="s">
        <v>34</v>
      </c>
      <c r="J6" s="5" t="s">
        <v>155</v>
      </c>
      <c r="K6" s="3">
        <v>0.76</v>
      </c>
      <c r="L6" s="3">
        <f t="shared" si="1"/>
        <v>4.1176994537628673</v>
      </c>
      <c r="M6" s="3">
        <f t="shared" si="2"/>
        <v>28.823896176340071</v>
      </c>
      <c r="N6" s="3" t="s">
        <v>160</v>
      </c>
      <c r="O6" s="1">
        <v>22</v>
      </c>
      <c r="P6" s="1">
        <v>10</v>
      </c>
      <c r="Q6" s="3">
        <v>60</v>
      </c>
      <c r="R6" s="3">
        <v>4</v>
      </c>
      <c r="S6" s="1">
        <v>17</v>
      </c>
      <c r="T6" s="6">
        <f t="shared" si="3"/>
        <v>6.911999999999999</v>
      </c>
      <c r="U6" s="7">
        <v>0.2</v>
      </c>
      <c r="V6" s="3">
        <f t="shared" si="4"/>
        <v>1.3823999999999999</v>
      </c>
      <c r="W6" s="3">
        <f t="shared" si="5"/>
        <v>13.823999999999998</v>
      </c>
      <c r="X6" s="3">
        <f t="shared" si="6"/>
        <v>2.0850619340523782</v>
      </c>
      <c r="Y6" s="7">
        <v>0.4</v>
      </c>
      <c r="Z6" s="3">
        <f t="shared" si="7"/>
        <v>2.7647999999999997</v>
      </c>
      <c r="AA6" s="3">
        <f t="shared" si="8"/>
        <v>27.647999999999996</v>
      </c>
      <c r="AB6" s="3">
        <f t="shared" si="9"/>
        <v>1.0425309670261891</v>
      </c>
      <c r="AC6" s="3">
        <v>4</v>
      </c>
      <c r="AD6" s="3">
        <v>1</v>
      </c>
      <c r="AE6" s="3">
        <f t="shared" si="10"/>
        <v>2500</v>
      </c>
      <c r="AF6" s="3">
        <v>3</v>
      </c>
      <c r="AG6" s="3">
        <f t="shared" si="11"/>
        <v>0.75</v>
      </c>
      <c r="AH6" s="7">
        <v>0.9</v>
      </c>
      <c r="AI6" s="3">
        <f t="shared" si="12"/>
        <v>42.702068409392695</v>
      </c>
      <c r="AJ6" s="3">
        <v>60</v>
      </c>
      <c r="AK6" s="54">
        <f t="shared" si="13"/>
        <v>75</v>
      </c>
    </row>
    <row r="7" spans="1:37" x14ac:dyDescent="0.25">
      <c r="A7" s="270"/>
      <c r="B7" s="1" t="s">
        <v>3</v>
      </c>
      <c r="C7" s="38">
        <v>30.8</v>
      </c>
      <c r="D7" s="40">
        <v>8.1999999999999993</v>
      </c>
      <c r="E7" s="39">
        <v>18.925000000000001</v>
      </c>
      <c r="F7" s="4">
        <v>-34</v>
      </c>
      <c r="G7" s="3">
        <v>10.3</v>
      </c>
      <c r="H7" s="3">
        <f t="shared" si="0"/>
        <v>4.1337528629393319</v>
      </c>
      <c r="I7" s="3" t="s">
        <v>150</v>
      </c>
      <c r="J7" s="5" t="s">
        <v>156</v>
      </c>
      <c r="K7" s="3">
        <v>0.9</v>
      </c>
      <c r="L7" s="3">
        <f t="shared" si="1"/>
        <v>3.7203775766453986</v>
      </c>
      <c r="M7" s="3">
        <f t="shared" si="2"/>
        <v>26.042643036517791</v>
      </c>
      <c r="N7" s="3" t="s">
        <v>161</v>
      </c>
      <c r="O7" s="1">
        <v>27</v>
      </c>
      <c r="P7" s="1">
        <v>13</v>
      </c>
      <c r="Q7" s="3">
        <v>50</v>
      </c>
      <c r="R7" s="3">
        <v>6</v>
      </c>
      <c r="S7" s="1">
        <v>19</v>
      </c>
      <c r="T7" s="6">
        <f t="shared" si="3"/>
        <v>6.58</v>
      </c>
      <c r="U7" s="7">
        <v>0.2</v>
      </c>
      <c r="V7" s="3">
        <f t="shared" si="4"/>
        <v>1.3160000000000001</v>
      </c>
      <c r="W7" s="3">
        <f t="shared" si="5"/>
        <v>13.16</v>
      </c>
      <c r="X7" s="3">
        <f t="shared" si="6"/>
        <v>1.9789242428964886</v>
      </c>
      <c r="Y7" s="7">
        <v>0.4</v>
      </c>
      <c r="Z7" s="3">
        <f t="shared" si="7"/>
        <v>2.6320000000000001</v>
      </c>
      <c r="AA7" s="3">
        <f t="shared" si="8"/>
        <v>26.32</v>
      </c>
      <c r="AB7" s="3">
        <f t="shared" si="9"/>
        <v>0.9894621214482443</v>
      </c>
      <c r="AC7" s="3">
        <v>3</v>
      </c>
      <c r="AD7" s="3">
        <v>1</v>
      </c>
      <c r="AE7" s="3">
        <f t="shared" si="10"/>
        <v>3333.3333333333335</v>
      </c>
      <c r="AF7" s="3">
        <v>3</v>
      </c>
      <c r="AG7" s="3">
        <f t="shared" si="11"/>
        <v>1</v>
      </c>
      <c r="AH7" s="7">
        <v>0.9</v>
      </c>
      <c r="AI7" s="3">
        <f t="shared" si="12"/>
        <v>28.936270040575323</v>
      </c>
      <c r="AJ7" s="3">
        <v>50</v>
      </c>
      <c r="AK7" s="54">
        <f t="shared" si="13"/>
        <v>62.5</v>
      </c>
    </row>
    <row r="8" spans="1:37" x14ac:dyDescent="0.25">
      <c r="A8" s="270"/>
      <c r="B8" s="1" t="s">
        <v>4</v>
      </c>
      <c r="C8" s="38">
        <v>30.8</v>
      </c>
      <c r="D8" s="40">
        <v>8.1999999999999993</v>
      </c>
      <c r="E8" s="39">
        <v>18.925000000000001</v>
      </c>
      <c r="F8" s="4">
        <v>-34</v>
      </c>
      <c r="G8" s="3">
        <v>7.8</v>
      </c>
      <c r="H8" s="3">
        <f t="shared" si="0"/>
        <v>3.1304147894103673</v>
      </c>
      <c r="I8" s="3" t="s">
        <v>150</v>
      </c>
      <c r="J8" s="5" t="s">
        <v>157</v>
      </c>
      <c r="K8" s="3">
        <v>0.7</v>
      </c>
      <c r="L8" s="3">
        <f t="shared" si="1"/>
        <v>2.1912903525872571</v>
      </c>
      <c r="M8" s="3">
        <f t="shared" si="2"/>
        <v>15.339032468110799</v>
      </c>
      <c r="N8" s="3" t="s">
        <v>162</v>
      </c>
      <c r="O8" s="1">
        <v>31</v>
      </c>
      <c r="P8" s="1">
        <v>15</v>
      </c>
      <c r="Q8" s="3">
        <v>40</v>
      </c>
      <c r="R8" s="3">
        <v>8</v>
      </c>
      <c r="S8" s="1">
        <v>21</v>
      </c>
      <c r="T8" s="6">
        <f t="shared" si="3"/>
        <v>5.8880000000000008</v>
      </c>
      <c r="U8" s="7">
        <v>0.2</v>
      </c>
      <c r="V8" s="3">
        <f t="shared" si="4"/>
        <v>1.1776000000000002</v>
      </c>
      <c r="W8" s="3">
        <f t="shared" si="5"/>
        <v>11.776000000000002</v>
      </c>
      <c r="X8" s="3">
        <f t="shared" si="6"/>
        <v>1.3025672951860392</v>
      </c>
      <c r="Y8" s="7">
        <v>0.4</v>
      </c>
      <c r="Z8" s="3">
        <f t="shared" si="7"/>
        <v>2.3552000000000004</v>
      </c>
      <c r="AA8" s="3">
        <f t="shared" si="8"/>
        <v>23.552000000000003</v>
      </c>
      <c r="AB8" s="3">
        <f t="shared" si="9"/>
        <v>0.6512836475930196</v>
      </c>
      <c r="AC8" s="3">
        <v>4</v>
      </c>
      <c r="AD8" s="3">
        <v>2</v>
      </c>
      <c r="AE8" s="3">
        <f t="shared" si="10"/>
        <v>1250</v>
      </c>
      <c r="AF8" s="3">
        <v>8</v>
      </c>
      <c r="AG8" s="3">
        <f t="shared" si="11"/>
        <v>1</v>
      </c>
      <c r="AH8" s="7">
        <v>0.9</v>
      </c>
      <c r="AI8" s="3">
        <f t="shared" si="12"/>
        <v>17.043369409011998</v>
      </c>
      <c r="AJ8" s="3">
        <v>40</v>
      </c>
      <c r="AK8" s="54">
        <f t="shared" si="13"/>
        <v>50</v>
      </c>
    </row>
    <row r="9" spans="1:37" ht="15.75" thickBot="1" x14ac:dyDescent="0.3">
      <c r="A9" s="271"/>
      <c r="B9" s="55" t="s">
        <v>5</v>
      </c>
      <c r="C9" s="56">
        <v>30.8</v>
      </c>
      <c r="D9" s="66">
        <v>8.1999999999999993</v>
      </c>
      <c r="E9" s="57">
        <v>18.925000000000001</v>
      </c>
      <c r="F9" s="67">
        <v>-34</v>
      </c>
      <c r="G9" s="59">
        <v>6.6</v>
      </c>
      <c r="H9" s="59">
        <f t="shared" si="0"/>
        <v>2.6488125141164645</v>
      </c>
      <c r="I9" s="59" t="s">
        <v>150</v>
      </c>
      <c r="J9" s="68" t="s">
        <v>153</v>
      </c>
      <c r="K9" s="59">
        <v>0.4</v>
      </c>
      <c r="L9" s="59">
        <f t="shared" si="1"/>
        <v>1.0595250056465859</v>
      </c>
      <c r="M9" s="59">
        <f t="shared" si="2"/>
        <v>7.4166750395261012</v>
      </c>
      <c r="N9" s="59" t="s">
        <v>163</v>
      </c>
      <c r="O9" s="55">
        <v>35</v>
      </c>
      <c r="P9" s="55">
        <v>17</v>
      </c>
      <c r="Q9" s="59">
        <v>30</v>
      </c>
      <c r="R9" s="59">
        <v>10</v>
      </c>
      <c r="S9" s="55">
        <v>23</v>
      </c>
      <c r="T9" s="70">
        <f t="shared" si="3"/>
        <v>4.8599999999999994</v>
      </c>
      <c r="U9" s="71">
        <v>0.2</v>
      </c>
      <c r="V9" s="59">
        <f t="shared" si="4"/>
        <v>0.97199999999999998</v>
      </c>
      <c r="W9" s="59">
        <f t="shared" si="5"/>
        <v>9.7199999999999989</v>
      </c>
      <c r="X9" s="59">
        <f t="shared" si="6"/>
        <v>0.76303241147387879</v>
      </c>
      <c r="Y9" s="71">
        <v>0.4</v>
      </c>
      <c r="Z9" s="59">
        <f t="shared" si="7"/>
        <v>1.944</v>
      </c>
      <c r="AA9" s="59">
        <f t="shared" si="8"/>
        <v>19.439999999999998</v>
      </c>
      <c r="AB9" s="59">
        <f t="shared" si="9"/>
        <v>0.3815162057369394</v>
      </c>
      <c r="AC9" s="59">
        <v>2</v>
      </c>
      <c r="AD9" s="59">
        <v>1</v>
      </c>
      <c r="AE9" s="59">
        <f t="shared" si="10"/>
        <v>5000</v>
      </c>
      <c r="AF9" s="59">
        <v>4</v>
      </c>
      <c r="AG9" s="59">
        <f t="shared" si="11"/>
        <v>2</v>
      </c>
      <c r="AH9" s="71">
        <v>0.9</v>
      </c>
      <c r="AI9" s="59">
        <f t="shared" si="12"/>
        <v>4.120375021958945</v>
      </c>
      <c r="AJ9" s="59">
        <v>30</v>
      </c>
      <c r="AK9" s="60">
        <f t="shared" si="13"/>
        <v>37.5</v>
      </c>
    </row>
    <row r="10" spans="1:37" x14ac:dyDescent="0.25">
      <c r="A10" s="272" t="s">
        <v>173</v>
      </c>
      <c r="B10" s="48" t="s">
        <v>6</v>
      </c>
      <c r="C10" s="49">
        <v>30.8</v>
      </c>
      <c r="D10" s="62">
        <v>8.1999999999999993</v>
      </c>
      <c r="E10" s="50">
        <v>18.925000000000001</v>
      </c>
      <c r="F10" s="51">
        <v>-30</v>
      </c>
      <c r="G10" s="52">
        <v>8</v>
      </c>
      <c r="H10" s="52">
        <f t="shared" si="0"/>
        <v>3.2106818352926845</v>
      </c>
      <c r="I10" s="52" t="s">
        <v>34</v>
      </c>
      <c r="J10" s="69" t="s">
        <v>154</v>
      </c>
      <c r="K10" s="52">
        <v>0.78</v>
      </c>
      <c r="L10" s="52">
        <f t="shared" si="1"/>
        <v>2.5043318315282939</v>
      </c>
      <c r="M10" s="52">
        <f t="shared" si="2"/>
        <v>17.530322820698057</v>
      </c>
      <c r="N10" s="52" t="s">
        <v>158</v>
      </c>
      <c r="O10" s="48">
        <v>9</v>
      </c>
      <c r="P10" s="48">
        <v>4</v>
      </c>
      <c r="Q10" s="52">
        <v>100</v>
      </c>
      <c r="R10" s="52">
        <v>10</v>
      </c>
      <c r="S10" s="48">
        <v>8</v>
      </c>
      <c r="T10" s="64">
        <f t="shared" si="3"/>
        <v>4.5</v>
      </c>
      <c r="U10" s="65">
        <v>0.2</v>
      </c>
      <c r="V10" s="52">
        <f t="shared" si="4"/>
        <v>0.9</v>
      </c>
      <c r="W10" s="52">
        <f t="shared" si="5"/>
        <v>9</v>
      </c>
      <c r="X10" s="52">
        <f t="shared" si="6"/>
        <v>1.9478136467442286</v>
      </c>
      <c r="Y10" s="65">
        <v>0.4</v>
      </c>
      <c r="Z10" s="52">
        <f t="shared" si="7"/>
        <v>1.8</v>
      </c>
      <c r="AA10" s="52">
        <f t="shared" si="8"/>
        <v>18</v>
      </c>
      <c r="AB10" s="52">
        <f t="shared" si="9"/>
        <v>0.97390682337211432</v>
      </c>
      <c r="AC10" s="52">
        <v>1</v>
      </c>
      <c r="AD10" s="52">
        <v>1</v>
      </c>
      <c r="AE10" s="52">
        <f t="shared" si="10"/>
        <v>10000</v>
      </c>
      <c r="AF10" s="52">
        <v>10</v>
      </c>
      <c r="AG10" s="52">
        <f t="shared" si="11"/>
        <v>10</v>
      </c>
      <c r="AH10" s="65">
        <v>0.9</v>
      </c>
      <c r="AI10" s="52">
        <f t="shared" si="12"/>
        <v>1.9478136467442286</v>
      </c>
      <c r="AJ10" s="52">
        <v>80</v>
      </c>
      <c r="AK10" s="53">
        <f t="shared" si="13"/>
        <v>100</v>
      </c>
    </row>
    <row r="11" spans="1:37" x14ac:dyDescent="0.25">
      <c r="A11" s="273"/>
      <c r="B11" s="1" t="s">
        <v>7</v>
      </c>
      <c r="C11" s="38">
        <v>30.8</v>
      </c>
      <c r="D11" s="40">
        <v>8.1999999999999993</v>
      </c>
      <c r="E11" s="39">
        <v>18.925000000000001</v>
      </c>
      <c r="F11" s="47">
        <v>-30</v>
      </c>
      <c r="G11" s="3">
        <v>9.9</v>
      </c>
      <c r="H11" s="3">
        <f t="shared" si="0"/>
        <v>3.9732187711746971</v>
      </c>
      <c r="I11" s="3" t="s">
        <v>34</v>
      </c>
      <c r="J11" s="5" t="s">
        <v>155</v>
      </c>
      <c r="K11" s="3">
        <v>0.76</v>
      </c>
      <c r="L11" s="3">
        <f t="shared" si="1"/>
        <v>3.0196462660927699</v>
      </c>
      <c r="M11" s="3">
        <f t="shared" si="2"/>
        <v>21.137523862649388</v>
      </c>
      <c r="N11" s="3" t="s">
        <v>159</v>
      </c>
      <c r="O11" s="1">
        <v>14</v>
      </c>
      <c r="P11" s="1">
        <v>6</v>
      </c>
      <c r="Q11" s="3">
        <v>80</v>
      </c>
      <c r="R11" s="3">
        <v>8</v>
      </c>
      <c r="S11" s="1">
        <v>12</v>
      </c>
      <c r="T11" s="6">
        <f t="shared" si="3"/>
        <v>5.8880000000000008</v>
      </c>
      <c r="U11" s="7">
        <v>0.2</v>
      </c>
      <c r="V11" s="3">
        <f t="shared" si="4"/>
        <v>1.1776000000000002</v>
      </c>
      <c r="W11" s="3">
        <f t="shared" si="5"/>
        <v>11.776000000000002</v>
      </c>
      <c r="X11" s="3">
        <f t="shared" si="6"/>
        <v>1.7949663606190036</v>
      </c>
      <c r="Y11" s="7">
        <v>0.4</v>
      </c>
      <c r="Z11" s="3">
        <f t="shared" si="7"/>
        <v>2.3552000000000004</v>
      </c>
      <c r="AA11" s="3">
        <f t="shared" si="8"/>
        <v>23.552000000000003</v>
      </c>
      <c r="AB11" s="3">
        <f t="shared" si="9"/>
        <v>0.8974831803095018</v>
      </c>
      <c r="AC11" s="3">
        <v>4</v>
      </c>
      <c r="AD11" s="3">
        <v>3</v>
      </c>
      <c r="AE11" s="3">
        <f t="shared" si="10"/>
        <v>833.33333333333337</v>
      </c>
      <c r="AF11" s="3">
        <v>8</v>
      </c>
      <c r="AG11" s="3">
        <f t="shared" si="11"/>
        <v>0.66666666666666674</v>
      </c>
      <c r="AH11" s="7">
        <v>0.9</v>
      </c>
      <c r="AI11" s="3">
        <f t="shared" si="12"/>
        <v>35.229206437748978</v>
      </c>
      <c r="AJ11" s="3">
        <v>70</v>
      </c>
      <c r="AK11" s="54">
        <f t="shared" si="13"/>
        <v>87.5</v>
      </c>
    </row>
    <row r="12" spans="1:37" x14ac:dyDescent="0.25">
      <c r="A12" s="273"/>
      <c r="B12" s="1" t="s">
        <v>8</v>
      </c>
      <c r="C12" s="38">
        <v>30.8</v>
      </c>
      <c r="D12" s="40">
        <v>8.1999999999999993</v>
      </c>
      <c r="E12" s="39">
        <v>18.925000000000001</v>
      </c>
      <c r="F12" s="47">
        <v>-30</v>
      </c>
      <c r="G12" s="3">
        <v>12.7</v>
      </c>
      <c r="H12" s="3">
        <f t="shared" si="0"/>
        <v>5.0969574135271358</v>
      </c>
      <c r="I12" s="3" t="s">
        <v>34</v>
      </c>
      <c r="J12" s="5" t="s">
        <v>156</v>
      </c>
      <c r="K12" s="3">
        <v>0.77</v>
      </c>
      <c r="L12" s="3">
        <f t="shared" si="1"/>
        <v>3.9246572084158946</v>
      </c>
      <c r="M12" s="3">
        <f t="shared" si="2"/>
        <v>27.472600458911263</v>
      </c>
      <c r="N12" s="3" t="s">
        <v>160</v>
      </c>
      <c r="O12" s="1">
        <v>22</v>
      </c>
      <c r="P12" s="1">
        <v>10</v>
      </c>
      <c r="Q12" s="3">
        <v>60</v>
      </c>
      <c r="R12" s="3">
        <v>6</v>
      </c>
      <c r="S12" s="1">
        <v>17</v>
      </c>
      <c r="T12" s="6">
        <f t="shared" si="3"/>
        <v>6.7679999999999989</v>
      </c>
      <c r="U12" s="7">
        <v>0.2</v>
      </c>
      <c r="V12" s="3">
        <f t="shared" si="4"/>
        <v>1.3535999999999999</v>
      </c>
      <c r="W12" s="3">
        <f t="shared" si="5"/>
        <v>13.536</v>
      </c>
      <c r="X12" s="3">
        <f t="shared" si="6"/>
        <v>2.0295951875673213</v>
      </c>
      <c r="Y12" s="7">
        <v>0.4</v>
      </c>
      <c r="Z12" s="3">
        <f t="shared" si="7"/>
        <v>2.7071999999999998</v>
      </c>
      <c r="AA12" s="3">
        <f t="shared" si="8"/>
        <v>27.071999999999999</v>
      </c>
      <c r="AB12" s="3">
        <f t="shared" si="9"/>
        <v>1.0147975937836606</v>
      </c>
      <c r="AC12" s="3">
        <v>4</v>
      </c>
      <c r="AD12" s="3">
        <v>2</v>
      </c>
      <c r="AE12" s="3">
        <f t="shared" si="10"/>
        <v>1250</v>
      </c>
      <c r="AF12" s="3">
        <v>8</v>
      </c>
      <c r="AG12" s="3">
        <f t="shared" si="11"/>
        <v>1</v>
      </c>
      <c r="AH12" s="7">
        <v>0.9</v>
      </c>
      <c r="AI12" s="3">
        <f t="shared" si="12"/>
        <v>30.525111621012513</v>
      </c>
      <c r="AJ12" s="3">
        <v>60</v>
      </c>
      <c r="AK12" s="54">
        <f t="shared" si="13"/>
        <v>75</v>
      </c>
    </row>
    <row r="13" spans="1:37" x14ac:dyDescent="0.25">
      <c r="A13" s="273"/>
      <c r="B13" s="1" t="s">
        <v>9</v>
      </c>
      <c r="C13" s="38">
        <v>30.8</v>
      </c>
      <c r="D13" s="40">
        <v>8.1999999999999993</v>
      </c>
      <c r="E13" s="39">
        <v>18.925000000000001</v>
      </c>
      <c r="F13" s="47">
        <v>-30</v>
      </c>
      <c r="G13" s="3">
        <v>15.3</v>
      </c>
      <c r="H13" s="3">
        <f t="shared" si="0"/>
        <v>6.1404290099972592</v>
      </c>
      <c r="I13" s="3" t="s">
        <v>150</v>
      </c>
      <c r="J13" s="5" t="s">
        <v>157</v>
      </c>
      <c r="K13" s="3">
        <v>0.75</v>
      </c>
      <c r="L13" s="3">
        <f t="shared" si="1"/>
        <v>4.6053217574979444</v>
      </c>
      <c r="M13" s="3">
        <f t="shared" si="2"/>
        <v>32.237252302485608</v>
      </c>
      <c r="N13" s="3" t="s">
        <v>161</v>
      </c>
      <c r="O13" s="1">
        <v>27</v>
      </c>
      <c r="P13" s="1">
        <v>13</v>
      </c>
      <c r="Q13" s="3">
        <v>50</v>
      </c>
      <c r="R13" s="3">
        <v>4</v>
      </c>
      <c r="S13" s="1">
        <v>19</v>
      </c>
      <c r="T13" s="6">
        <f t="shared" si="3"/>
        <v>6.7200000000000006</v>
      </c>
      <c r="U13" s="7">
        <v>0.2</v>
      </c>
      <c r="V13" s="3">
        <f t="shared" si="4"/>
        <v>1.3440000000000003</v>
      </c>
      <c r="W13" s="3">
        <f t="shared" si="5"/>
        <v>13.440000000000003</v>
      </c>
      <c r="X13" s="3">
        <f t="shared" si="6"/>
        <v>2.3986050820301785</v>
      </c>
      <c r="Y13" s="7">
        <v>0.4</v>
      </c>
      <c r="Z13" s="3">
        <f t="shared" si="7"/>
        <v>2.6880000000000006</v>
      </c>
      <c r="AA13" s="3">
        <f t="shared" si="8"/>
        <v>26.880000000000006</v>
      </c>
      <c r="AB13" s="3">
        <f t="shared" si="9"/>
        <v>1.1993025410150893</v>
      </c>
      <c r="AC13" s="3">
        <v>4</v>
      </c>
      <c r="AD13" s="3">
        <v>3</v>
      </c>
      <c r="AE13" s="3">
        <f t="shared" si="10"/>
        <v>833.33333333333337</v>
      </c>
      <c r="AF13" s="3">
        <v>6</v>
      </c>
      <c r="AG13" s="3">
        <f t="shared" si="11"/>
        <v>0.5</v>
      </c>
      <c r="AH13" s="7">
        <v>0.9</v>
      </c>
      <c r="AI13" s="3">
        <f t="shared" si="12"/>
        <v>71.638338449968018</v>
      </c>
      <c r="AJ13" s="3">
        <v>50</v>
      </c>
      <c r="AK13" s="54">
        <f t="shared" si="13"/>
        <v>62.5</v>
      </c>
    </row>
    <row r="14" spans="1:37" x14ac:dyDescent="0.25">
      <c r="A14" s="273"/>
      <c r="B14" s="1" t="s">
        <v>10</v>
      </c>
      <c r="C14" s="38">
        <v>30.8</v>
      </c>
      <c r="D14" s="40">
        <v>8.1999999999999993</v>
      </c>
      <c r="E14" s="39">
        <v>18.925000000000001</v>
      </c>
      <c r="F14" s="47">
        <v>-30</v>
      </c>
      <c r="G14" s="3">
        <v>17.100000000000001</v>
      </c>
      <c r="H14" s="3">
        <f t="shared" si="0"/>
        <v>6.8628324229381139</v>
      </c>
      <c r="I14" s="3" t="s">
        <v>150</v>
      </c>
      <c r="J14" s="5" t="s">
        <v>153</v>
      </c>
      <c r="K14" s="3">
        <v>0.45</v>
      </c>
      <c r="L14" s="3">
        <f t="shared" si="1"/>
        <v>3.0882745903221513</v>
      </c>
      <c r="M14" s="3">
        <f t="shared" si="2"/>
        <v>21.61792213225506</v>
      </c>
      <c r="N14" s="3" t="s">
        <v>162</v>
      </c>
      <c r="O14" s="1">
        <v>31</v>
      </c>
      <c r="P14" s="1">
        <v>15</v>
      </c>
      <c r="Q14" s="3">
        <v>40</v>
      </c>
      <c r="R14" s="3">
        <v>2</v>
      </c>
      <c r="S14" s="1">
        <v>21</v>
      </c>
      <c r="T14" s="6">
        <f t="shared" si="3"/>
        <v>6.2720000000000002</v>
      </c>
      <c r="U14" s="7">
        <v>0.2</v>
      </c>
      <c r="V14" s="3">
        <f t="shared" si="4"/>
        <v>1.2544000000000002</v>
      </c>
      <c r="W14" s="3">
        <f t="shared" si="5"/>
        <v>12.544000000000002</v>
      </c>
      <c r="X14" s="3">
        <f t="shared" si="6"/>
        <v>1.7233675169208431</v>
      </c>
      <c r="Y14" s="7">
        <v>0.4</v>
      </c>
      <c r="Z14" s="3">
        <f t="shared" si="7"/>
        <v>2.5088000000000004</v>
      </c>
      <c r="AA14" s="3">
        <f t="shared" si="8"/>
        <v>25.088000000000005</v>
      </c>
      <c r="AB14" s="3">
        <f t="shared" si="9"/>
        <v>0.86168375846042156</v>
      </c>
      <c r="AC14" s="3">
        <v>3</v>
      </c>
      <c r="AD14" s="3">
        <v>1</v>
      </c>
      <c r="AE14" s="3">
        <f t="shared" si="10"/>
        <v>3333.3333333333335</v>
      </c>
      <c r="AF14" s="3">
        <v>5</v>
      </c>
      <c r="AG14" s="3">
        <f t="shared" si="11"/>
        <v>1.6666666666666667</v>
      </c>
      <c r="AH14" s="7">
        <v>0.9</v>
      </c>
      <c r="AI14" s="3">
        <f t="shared" si="12"/>
        <v>14.411948088170041</v>
      </c>
      <c r="AJ14" s="3">
        <v>40</v>
      </c>
      <c r="AK14" s="54">
        <f t="shared" si="13"/>
        <v>50</v>
      </c>
    </row>
    <row r="15" spans="1:37" ht="15.75" thickBot="1" x14ac:dyDescent="0.3">
      <c r="A15" s="274"/>
      <c r="B15" s="55" t="s">
        <v>11</v>
      </c>
      <c r="C15" s="56">
        <v>30.8</v>
      </c>
      <c r="D15" s="66">
        <v>8.1999999999999993</v>
      </c>
      <c r="E15" s="57">
        <v>18.925000000000001</v>
      </c>
      <c r="F15" s="58">
        <v>-30</v>
      </c>
      <c r="G15" s="59">
        <v>17.899999999999999</v>
      </c>
      <c r="H15" s="59">
        <f t="shared" si="0"/>
        <v>7.1839006064673807</v>
      </c>
      <c r="I15" s="59" t="s">
        <v>150</v>
      </c>
      <c r="J15" s="68" t="s">
        <v>154</v>
      </c>
      <c r="K15" s="59">
        <v>0.75</v>
      </c>
      <c r="L15" s="59">
        <f t="shared" si="1"/>
        <v>5.3879254548505351</v>
      </c>
      <c r="M15" s="59">
        <f t="shared" si="2"/>
        <v>37.715478183953749</v>
      </c>
      <c r="N15" s="59" t="s">
        <v>163</v>
      </c>
      <c r="O15" s="55">
        <v>35</v>
      </c>
      <c r="P15" s="55">
        <v>17</v>
      </c>
      <c r="Q15" s="59">
        <v>30</v>
      </c>
      <c r="R15" s="59">
        <v>0</v>
      </c>
      <c r="S15" s="55">
        <v>23</v>
      </c>
      <c r="T15" s="70">
        <f t="shared" si="3"/>
        <v>5.3999999999999995</v>
      </c>
      <c r="U15" s="71">
        <v>0.2</v>
      </c>
      <c r="V15" s="59">
        <f t="shared" si="4"/>
        <v>1.0799999999999998</v>
      </c>
      <c r="W15" s="59">
        <f t="shared" si="5"/>
        <v>10.799999999999999</v>
      </c>
      <c r="X15" s="59">
        <f t="shared" si="6"/>
        <v>3.4921739059216437</v>
      </c>
      <c r="Y15" s="71">
        <v>0.4</v>
      </c>
      <c r="Z15" s="59">
        <f t="shared" si="7"/>
        <v>2.1599999999999997</v>
      </c>
      <c r="AA15" s="59">
        <f t="shared" si="8"/>
        <v>21.599999999999998</v>
      </c>
      <c r="AB15" s="59">
        <f t="shared" si="9"/>
        <v>1.7460869529608218</v>
      </c>
      <c r="AC15" s="59">
        <v>3</v>
      </c>
      <c r="AD15" s="59">
        <v>1</v>
      </c>
      <c r="AE15" s="59">
        <f t="shared" si="10"/>
        <v>3333.3333333333335</v>
      </c>
      <c r="AF15" s="59">
        <v>7</v>
      </c>
      <c r="AG15" s="59">
        <f t="shared" si="11"/>
        <v>2.3333333333333335</v>
      </c>
      <c r="AH15" s="71">
        <v>0.9</v>
      </c>
      <c r="AI15" s="59">
        <f t="shared" si="12"/>
        <v>17.959751516168453</v>
      </c>
      <c r="AJ15" s="59">
        <v>30</v>
      </c>
      <c r="AK15" s="60">
        <f t="shared" si="13"/>
        <v>37.5</v>
      </c>
    </row>
    <row r="17" spans="2:35" x14ac:dyDescent="0.25">
      <c r="AI17" t="e">
        <f>(#REF!/#REF!)-1</f>
        <v>#REF!</v>
      </c>
    </row>
    <row r="21" spans="2:35" x14ac:dyDescent="0.25">
      <c r="O21" s="16">
        <f>0.0023*(L21+16)*N21*(J21-K21)^0.5</f>
        <v>0</v>
      </c>
      <c r="P21" t="e">
        <f>AVERAGE(P16:P20)</f>
        <v>#DIV/0!</v>
      </c>
    </row>
    <row r="23" spans="2:35" ht="15.75" thickBot="1" x14ac:dyDescent="0.3">
      <c r="B23" s="268" t="s">
        <v>132</v>
      </c>
      <c r="C23" s="268"/>
      <c r="D23" s="268"/>
      <c r="E23" s="268"/>
      <c r="H23" s="268" t="s">
        <v>149</v>
      </c>
      <c r="I23" s="268"/>
      <c r="J23" s="268"/>
      <c r="K23" s="268"/>
      <c r="L23" s="268"/>
    </row>
    <row r="24" spans="2:35" ht="15.75" thickBot="1" x14ac:dyDescent="0.3">
      <c r="B24" s="33" t="s">
        <v>133</v>
      </c>
      <c r="C24" s="35" t="s">
        <v>146</v>
      </c>
      <c r="D24" s="36" t="s">
        <v>147</v>
      </c>
      <c r="E24" s="37" t="s">
        <v>148</v>
      </c>
      <c r="H24" s="33" t="s">
        <v>133</v>
      </c>
      <c r="I24" s="35" t="s">
        <v>146</v>
      </c>
      <c r="J24" s="36" t="s">
        <v>147</v>
      </c>
      <c r="K24" s="46" t="s">
        <v>148</v>
      </c>
      <c r="L24" s="46"/>
    </row>
    <row r="25" spans="2:35" ht="16.5" thickTop="1" thickBot="1" x14ac:dyDescent="0.3">
      <c r="B25" s="34" t="s">
        <v>134</v>
      </c>
      <c r="C25" s="35">
        <v>29</v>
      </c>
      <c r="D25" s="36">
        <v>20</v>
      </c>
      <c r="E25" s="37">
        <v>12</v>
      </c>
      <c r="H25" s="34" t="s">
        <v>134</v>
      </c>
      <c r="I25" s="35" t="s">
        <v>98</v>
      </c>
      <c r="J25" s="36">
        <v>18</v>
      </c>
      <c r="K25" s="46" t="s">
        <v>76</v>
      </c>
      <c r="L25" s="46"/>
    </row>
    <row r="26" spans="2:35" ht="16.5" thickTop="1" thickBot="1" x14ac:dyDescent="0.3">
      <c r="B26" s="34" t="s">
        <v>135</v>
      </c>
      <c r="C26" s="35">
        <v>28</v>
      </c>
      <c r="D26" s="36">
        <v>20</v>
      </c>
      <c r="E26" s="37">
        <v>11</v>
      </c>
      <c r="H26" s="34" t="s">
        <v>135</v>
      </c>
      <c r="I26" s="35" t="s">
        <v>98</v>
      </c>
      <c r="J26" s="36">
        <v>18</v>
      </c>
      <c r="K26" s="46" t="s">
        <v>76</v>
      </c>
      <c r="L26" s="46"/>
      <c r="M26" s="41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2:35" ht="16.5" thickTop="1" thickBot="1" x14ac:dyDescent="0.3">
      <c r="B27" s="34" t="s">
        <v>136</v>
      </c>
      <c r="C27" s="35">
        <v>26</v>
      </c>
      <c r="D27" s="36">
        <v>17</v>
      </c>
      <c r="E27" s="37">
        <v>9</v>
      </c>
      <c r="H27" s="34" t="s">
        <v>136</v>
      </c>
      <c r="I27" s="35" t="s">
        <v>71</v>
      </c>
      <c r="J27" s="36">
        <v>17</v>
      </c>
      <c r="K27" s="46" t="s">
        <v>92</v>
      </c>
      <c r="L27" s="46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spans="2:35" ht="16.5" thickTop="1" thickBot="1" x14ac:dyDescent="0.3">
      <c r="B28" s="34" t="s">
        <v>137</v>
      </c>
      <c r="C28" s="35">
        <v>21</v>
      </c>
      <c r="D28" s="36">
        <v>13</v>
      </c>
      <c r="E28" s="37">
        <v>6</v>
      </c>
      <c r="H28" s="34" t="s">
        <v>137</v>
      </c>
      <c r="I28" s="35" t="s">
        <v>103</v>
      </c>
      <c r="J28" s="36">
        <v>15</v>
      </c>
      <c r="K28" s="46" t="s">
        <v>107</v>
      </c>
      <c r="L28" s="46"/>
      <c r="M28" s="44"/>
      <c r="N28" s="44"/>
      <c r="O28" s="44"/>
      <c r="P28" s="41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2:35" ht="16.5" thickTop="1" thickBot="1" x14ac:dyDescent="0.3">
      <c r="B29" s="34" t="s">
        <v>138</v>
      </c>
      <c r="C29" s="35">
        <v>16</v>
      </c>
      <c r="D29" s="36">
        <v>10</v>
      </c>
      <c r="E29" s="37">
        <v>5</v>
      </c>
      <c r="H29" s="34" t="s">
        <v>138</v>
      </c>
      <c r="I29" s="35" t="s">
        <v>80</v>
      </c>
      <c r="J29" s="36">
        <v>14</v>
      </c>
      <c r="K29" s="46" t="s">
        <v>83</v>
      </c>
      <c r="L29" s="46"/>
      <c r="M29" s="45"/>
      <c r="N29" s="45"/>
      <c r="O29" s="45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2:35" ht="16.5" thickTop="1" thickBot="1" x14ac:dyDescent="0.3">
      <c r="B30" s="34" t="s">
        <v>139</v>
      </c>
      <c r="C30" s="35">
        <v>14</v>
      </c>
      <c r="D30" s="36">
        <v>8</v>
      </c>
      <c r="E30" s="37">
        <v>4</v>
      </c>
      <c r="H30" s="34" t="s">
        <v>139</v>
      </c>
      <c r="I30" s="35" t="s">
        <v>93</v>
      </c>
      <c r="J30" s="36">
        <v>12</v>
      </c>
      <c r="K30" s="46" t="s">
        <v>79</v>
      </c>
      <c r="L30" s="46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2:35" ht="16.5" thickTop="1" thickBot="1" x14ac:dyDescent="0.3">
      <c r="B31" s="34" t="s">
        <v>140</v>
      </c>
      <c r="C31" s="35">
        <v>13</v>
      </c>
      <c r="D31" s="36">
        <v>8</v>
      </c>
      <c r="E31" s="37">
        <v>3</v>
      </c>
      <c r="H31" s="34" t="s">
        <v>140</v>
      </c>
      <c r="I31" s="35">
        <v>16</v>
      </c>
      <c r="J31" s="36">
        <v>12</v>
      </c>
      <c r="K31" s="46">
        <v>9</v>
      </c>
      <c r="L31" s="46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2:35" ht="16.5" thickTop="1" thickBot="1" x14ac:dyDescent="0.3">
      <c r="B32" s="34" t="s">
        <v>141</v>
      </c>
      <c r="C32" s="35">
        <v>14</v>
      </c>
      <c r="D32" s="36">
        <v>9</v>
      </c>
      <c r="E32" s="37">
        <v>4</v>
      </c>
      <c r="H32" s="34" t="s">
        <v>141</v>
      </c>
      <c r="I32" s="35">
        <v>16</v>
      </c>
      <c r="J32" s="36">
        <v>12</v>
      </c>
      <c r="K32" s="46">
        <v>9</v>
      </c>
      <c r="L32" s="46"/>
    </row>
    <row r="33" spans="2:12" ht="16.5" thickTop="1" thickBot="1" x14ac:dyDescent="0.3">
      <c r="B33" s="34" t="s">
        <v>142</v>
      </c>
      <c r="C33" s="35">
        <v>17</v>
      </c>
      <c r="D33" s="36">
        <v>11</v>
      </c>
      <c r="E33" s="37">
        <v>5</v>
      </c>
      <c r="H33" s="34" t="s">
        <v>142</v>
      </c>
      <c r="I33" s="35">
        <v>17</v>
      </c>
      <c r="J33" s="36">
        <v>13</v>
      </c>
      <c r="K33" s="46">
        <v>10</v>
      </c>
      <c r="L33" s="46"/>
    </row>
    <row r="34" spans="2:12" ht="16.5" thickTop="1" thickBot="1" x14ac:dyDescent="0.3">
      <c r="B34" s="34" t="s">
        <v>143</v>
      </c>
      <c r="C34" s="35">
        <v>20</v>
      </c>
      <c r="D34" s="36">
        <v>13</v>
      </c>
      <c r="E34" s="37">
        <v>7</v>
      </c>
      <c r="H34" s="34" t="s">
        <v>143</v>
      </c>
      <c r="I34" s="35">
        <v>18</v>
      </c>
      <c r="J34" s="36">
        <v>14</v>
      </c>
      <c r="K34" s="46">
        <v>11</v>
      </c>
      <c r="L34" s="46"/>
    </row>
    <row r="35" spans="2:12" ht="16.5" thickTop="1" thickBot="1" x14ac:dyDescent="0.3">
      <c r="B35" s="34" t="s">
        <v>144</v>
      </c>
      <c r="C35" s="35">
        <v>24</v>
      </c>
      <c r="D35" s="36">
        <v>16</v>
      </c>
      <c r="E35" s="37">
        <v>9</v>
      </c>
      <c r="H35" s="34" t="s">
        <v>144</v>
      </c>
      <c r="I35" s="35">
        <v>18</v>
      </c>
      <c r="J35" s="36">
        <v>15</v>
      </c>
      <c r="K35" s="46">
        <v>12</v>
      </c>
      <c r="L35" s="46"/>
    </row>
    <row r="36" spans="2:12" ht="16.5" thickTop="1" thickBot="1" x14ac:dyDescent="0.3">
      <c r="B36" s="34" t="s">
        <v>145</v>
      </c>
      <c r="C36" s="35">
        <v>27</v>
      </c>
      <c r="D36" s="36">
        <v>19</v>
      </c>
      <c r="E36" s="37">
        <v>11</v>
      </c>
      <c r="H36" s="34" t="s">
        <v>145</v>
      </c>
      <c r="I36" s="35">
        <v>20</v>
      </c>
      <c r="J36" s="36">
        <v>16</v>
      </c>
      <c r="K36" s="46" t="s">
        <v>151</v>
      </c>
      <c r="L36" s="46"/>
    </row>
    <row r="37" spans="2:12" ht="15.75" thickTop="1" x14ac:dyDescent="0.25"/>
  </sheetData>
  <mergeCells count="28">
    <mergeCell ref="H1:H2"/>
    <mergeCell ref="B1:B2"/>
    <mergeCell ref="C1:C2"/>
    <mergeCell ref="D1:D2"/>
    <mergeCell ref="E1:E2"/>
    <mergeCell ref="G1:G2"/>
    <mergeCell ref="Y1:Y2"/>
    <mergeCell ref="Z1:Z2"/>
    <mergeCell ref="O1:O2"/>
    <mergeCell ref="P1:P2"/>
    <mergeCell ref="S1:S2"/>
    <mergeCell ref="T1:T2"/>
    <mergeCell ref="AI1:AI2"/>
    <mergeCell ref="AK1:AK2"/>
    <mergeCell ref="B23:E23"/>
    <mergeCell ref="H23:L23"/>
    <mergeCell ref="A4:A9"/>
    <mergeCell ref="A10:A15"/>
    <mergeCell ref="A1:A2"/>
    <mergeCell ref="AA1:AA2"/>
    <mergeCell ref="AB1:AB2"/>
    <mergeCell ref="AE1:AE2"/>
    <mergeCell ref="AG1:AG2"/>
    <mergeCell ref="AH1:AH2"/>
    <mergeCell ref="U1:U2"/>
    <mergeCell ref="V1:V2"/>
    <mergeCell ref="W1:W2"/>
    <mergeCell ref="X1:X2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34E2-8F6B-48E2-9183-DF6BC8141B41}">
  <dimension ref="B1:AP34"/>
  <sheetViews>
    <sheetView workbookViewId="0">
      <selection activeCell="G25" sqref="G25"/>
    </sheetView>
  </sheetViews>
  <sheetFormatPr baseColWidth="10" defaultRowHeight="15" x14ac:dyDescent="0.25"/>
  <cols>
    <col min="1" max="1" width="4" customWidth="1"/>
    <col min="8" max="8" width="16.140625" bestFit="1" customWidth="1"/>
    <col min="32" max="32" width="12" bestFit="1" customWidth="1"/>
    <col min="33" max="33" width="8.28515625" bestFit="1" customWidth="1"/>
    <col min="34" max="34" width="12" bestFit="1" customWidth="1"/>
    <col min="36" max="36" width="8.28515625" bestFit="1" customWidth="1"/>
    <col min="37" max="38" width="12" bestFit="1" customWidth="1"/>
    <col min="39" max="39" width="12" customWidth="1"/>
    <col min="41" max="41" width="12" bestFit="1" customWidth="1"/>
  </cols>
  <sheetData>
    <row r="1" spans="2:42" ht="47.25" x14ac:dyDescent="0.25">
      <c r="B1" s="289" t="s">
        <v>17</v>
      </c>
      <c r="C1" s="138" t="s">
        <v>168</v>
      </c>
      <c r="D1" s="138" t="s">
        <v>168</v>
      </c>
      <c r="E1" s="138"/>
      <c r="F1" s="138"/>
      <c r="G1" s="138" t="s">
        <v>229</v>
      </c>
      <c r="H1" s="138" t="s">
        <v>168</v>
      </c>
      <c r="I1" s="291" t="s">
        <v>18</v>
      </c>
      <c r="J1" s="291" t="s">
        <v>19</v>
      </c>
      <c r="K1" s="139" t="s">
        <v>169</v>
      </c>
      <c r="L1" s="139" t="s">
        <v>171</v>
      </c>
      <c r="M1" s="291" t="s">
        <v>22</v>
      </c>
      <c r="N1" s="293" t="s">
        <v>23</v>
      </c>
      <c r="O1" s="278" t="s">
        <v>164</v>
      </c>
      <c r="P1" s="280" t="s">
        <v>28</v>
      </c>
      <c r="Q1" s="280" t="s">
        <v>29</v>
      </c>
      <c r="R1" s="281" t="s">
        <v>30</v>
      </c>
      <c r="S1" s="283" t="s">
        <v>165</v>
      </c>
      <c r="T1" s="275" t="s">
        <v>28</v>
      </c>
      <c r="U1" s="275" t="s">
        <v>29</v>
      </c>
      <c r="V1" s="276" t="s">
        <v>30</v>
      </c>
      <c r="W1" s="140" t="s">
        <v>47</v>
      </c>
      <c r="X1" s="118" t="s">
        <v>166</v>
      </c>
      <c r="Y1" s="280" t="s">
        <v>36</v>
      </c>
      <c r="Z1" s="141" t="s">
        <v>167</v>
      </c>
      <c r="AA1" s="280" t="s">
        <v>38</v>
      </c>
      <c r="AB1" s="280" t="s">
        <v>39</v>
      </c>
      <c r="AC1" s="280" t="s">
        <v>41</v>
      </c>
      <c r="AD1" s="142" t="s">
        <v>172</v>
      </c>
      <c r="AE1" s="298" t="s">
        <v>42</v>
      </c>
      <c r="AF1" s="307" t="s">
        <v>230</v>
      </c>
      <c r="AG1" s="308"/>
      <c r="AH1" s="307" t="s">
        <v>234</v>
      </c>
      <c r="AI1" s="312"/>
      <c r="AJ1" s="313"/>
      <c r="AK1" s="309" t="s">
        <v>231</v>
      </c>
      <c r="AL1" s="310"/>
      <c r="AM1" s="155"/>
      <c r="AN1" s="311" t="s">
        <v>234</v>
      </c>
      <c r="AO1" s="311"/>
      <c r="AP1" s="311"/>
    </row>
    <row r="2" spans="2:42" ht="48" thickBot="1" x14ac:dyDescent="0.3">
      <c r="B2" s="290"/>
      <c r="C2" s="143" t="s">
        <v>33</v>
      </c>
      <c r="D2" s="143" t="s">
        <v>152</v>
      </c>
      <c r="E2" s="143" t="s">
        <v>24</v>
      </c>
      <c r="F2" s="143" t="s">
        <v>25</v>
      </c>
      <c r="G2" s="143" t="s">
        <v>26</v>
      </c>
      <c r="H2" s="143" t="s">
        <v>32</v>
      </c>
      <c r="I2" s="292"/>
      <c r="J2" s="292"/>
      <c r="K2" s="144" t="s">
        <v>20</v>
      </c>
      <c r="L2" s="144" t="s">
        <v>21</v>
      </c>
      <c r="M2" s="292"/>
      <c r="N2" s="294"/>
      <c r="O2" s="295"/>
      <c r="P2" s="297"/>
      <c r="Q2" s="297"/>
      <c r="R2" s="300"/>
      <c r="S2" s="301"/>
      <c r="T2" s="302"/>
      <c r="U2" s="302"/>
      <c r="V2" s="296"/>
      <c r="W2" s="145" t="s">
        <v>60</v>
      </c>
      <c r="X2" s="146" t="s">
        <v>61</v>
      </c>
      <c r="Y2" s="297"/>
      <c r="Z2" s="147" t="s">
        <v>37</v>
      </c>
      <c r="AA2" s="297"/>
      <c r="AB2" s="297"/>
      <c r="AC2" s="297"/>
      <c r="AD2" s="148" t="s">
        <v>40</v>
      </c>
      <c r="AE2" s="299"/>
      <c r="AF2" s="156" t="s">
        <v>232</v>
      </c>
      <c r="AG2" s="157" t="s">
        <v>233</v>
      </c>
      <c r="AH2" s="156" t="s">
        <v>232</v>
      </c>
      <c r="AI2" s="156" t="s">
        <v>232</v>
      </c>
      <c r="AJ2" s="158" t="s">
        <v>233</v>
      </c>
      <c r="AK2" s="159" t="s">
        <v>232</v>
      </c>
      <c r="AL2" s="160" t="s">
        <v>233</v>
      </c>
      <c r="AM2" s="161" t="s">
        <v>235</v>
      </c>
      <c r="AN2" s="161" t="s">
        <v>232</v>
      </c>
      <c r="AO2" s="161" t="s">
        <v>235</v>
      </c>
      <c r="AP2" s="161" t="s">
        <v>233</v>
      </c>
    </row>
    <row r="3" spans="2:42" ht="15.75" thickBot="1" x14ac:dyDescent="0.3">
      <c r="B3" s="149">
        <v>27.02587895264994</v>
      </c>
      <c r="C3" s="52" t="s">
        <v>34</v>
      </c>
      <c r="D3" s="69" t="s">
        <v>153</v>
      </c>
      <c r="E3" s="52">
        <v>0.77</v>
      </c>
      <c r="F3" s="52">
        <f>B3*E3</f>
        <v>20.809926793540455</v>
      </c>
      <c r="G3" s="52">
        <f>B3*E3</f>
        <v>20.809926793540455</v>
      </c>
      <c r="H3" s="52" t="s">
        <v>158</v>
      </c>
      <c r="I3" s="48">
        <v>9</v>
      </c>
      <c r="J3" s="48">
        <v>4</v>
      </c>
      <c r="K3" s="52">
        <v>100</v>
      </c>
      <c r="L3" s="52">
        <v>0</v>
      </c>
      <c r="M3" s="48">
        <v>8</v>
      </c>
      <c r="N3" s="64">
        <f>((I3-J3)/100)*K3*(1-(L3/100))</f>
        <v>5</v>
      </c>
      <c r="O3" s="65">
        <v>0.2</v>
      </c>
      <c r="P3" s="52">
        <f>N3*O3</f>
        <v>1</v>
      </c>
      <c r="Q3" s="52">
        <f>P3*10</f>
        <v>10</v>
      </c>
      <c r="R3" s="52">
        <f>G3/Q3</f>
        <v>2.0809926793540456</v>
      </c>
      <c r="S3" s="65">
        <v>0.4</v>
      </c>
      <c r="T3" s="52">
        <f>N3*S3</f>
        <v>2</v>
      </c>
      <c r="U3" s="52">
        <f>T3*10</f>
        <v>20</v>
      </c>
      <c r="V3" s="52">
        <f>G3/U3</f>
        <v>1.0404963396770228</v>
      </c>
      <c r="W3" s="52">
        <v>3</v>
      </c>
      <c r="X3" s="52">
        <v>1</v>
      </c>
      <c r="Y3" s="52">
        <f>10000/(W3*X3)</f>
        <v>3333.3333333333335</v>
      </c>
      <c r="Z3" s="52">
        <v>4</v>
      </c>
      <c r="AA3" s="52">
        <f>Y3*Z3/10000</f>
        <v>1.3333333333333335</v>
      </c>
      <c r="AB3" s="65">
        <v>0.9</v>
      </c>
      <c r="AC3" s="52">
        <f>G3/(AA3*AB3)</f>
        <v>17.341605661283712</v>
      </c>
      <c r="AD3" s="52">
        <v>80</v>
      </c>
      <c r="AE3" s="152">
        <f>5*AD3/4</f>
        <v>100</v>
      </c>
      <c r="AF3" s="149">
        <f>V3</f>
        <v>1.0404963396770228</v>
      </c>
      <c r="AG3" s="152">
        <f>AE3</f>
        <v>100</v>
      </c>
      <c r="AH3" s="314">
        <f>AF3-AF4</f>
        <v>0.12843133967702269</v>
      </c>
      <c r="AI3" s="318">
        <f>ABS(AF3-AF4)/AF4</f>
        <v>0.14081380129379231</v>
      </c>
      <c r="AJ3" s="316">
        <f>ABS(AG3-AG4)/AG4</f>
        <v>0</v>
      </c>
      <c r="AK3" s="149">
        <f>R3</f>
        <v>2.0809926793540456</v>
      </c>
      <c r="AL3" s="152">
        <f>AC3</f>
        <v>17.341605661283712</v>
      </c>
      <c r="AM3" s="322">
        <f>AK3-AK4</f>
        <v>0.25686267935404539</v>
      </c>
      <c r="AN3" s="305">
        <f>ABS(AK3-AK4)/AK4</f>
        <v>0.14081380129379231</v>
      </c>
      <c r="AO3" s="320">
        <f>AL3-AL4</f>
        <v>2.1405223279503787</v>
      </c>
      <c r="AP3" s="303">
        <f>ABS(AL3-AL4)/AL4</f>
        <v>0.14081380129379234</v>
      </c>
    </row>
    <row r="4" spans="2:42" ht="15.75" thickBot="1" x14ac:dyDescent="0.3">
      <c r="B4" s="150">
        <v>23.69</v>
      </c>
      <c r="C4" s="59" t="s">
        <v>34</v>
      </c>
      <c r="D4" s="68" t="s">
        <v>153</v>
      </c>
      <c r="E4" s="59">
        <v>0.77</v>
      </c>
      <c r="F4" s="59">
        <f>B4*E4</f>
        <v>18.241300000000003</v>
      </c>
      <c r="G4" s="52">
        <f t="shared" ref="G4:G26" si="0">B4*E4</f>
        <v>18.241300000000003</v>
      </c>
      <c r="H4" s="59" t="s">
        <v>158</v>
      </c>
      <c r="I4" s="55">
        <v>9</v>
      </c>
      <c r="J4" s="55">
        <v>4</v>
      </c>
      <c r="K4" s="59">
        <v>100</v>
      </c>
      <c r="L4" s="59">
        <v>0</v>
      </c>
      <c r="M4" s="55">
        <v>8</v>
      </c>
      <c r="N4" s="70">
        <f>((I4-J4)/100)*K4*(1-(L4/100))</f>
        <v>5</v>
      </c>
      <c r="O4" s="71">
        <v>0.2</v>
      </c>
      <c r="P4" s="59">
        <f>N4*O4</f>
        <v>1</v>
      </c>
      <c r="Q4" s="59">
        <f>P4*10</f>
        <v>10</v>
      </c>
      <c r="R4" s="59">
        <f>G4/Q4</f>
        <v>1.8241300000000003</v>
      </c>
      <c r="S4" s="71">
        <v>0.4</v>
      </c>
      <c r="T4" s="59">
        <f>N4*S4</f>
        <v>2</v>
      </c>
      <c r="U4" s="59">
        <f>T4*10</f>
        <v>20</v>
      </c>
      <c r="V4" s="59">
        <f>G4/U4</f>
        <v>0.91206500000000013</v>
      </c>
      <c r="W4" s="59">
        <v>3</v>
      </c>
      <c r="X4" s="59">
        <v>1</v>
      </c>
      <c r="Y4" s="59">
        <f>10000/(W4*X4)</f>
        <v>3333.3333333333335</v>
      </c>
      <c r="Z4" s="59">
        <v>4</v>
      </c>
      <c r="AA4" s="59">
        <f>Y4*Z4/10000</f>
        <v>1.3333333333333335</v>
      </c>
      <c r="AB4" s="71">
        <v>0.9</v>
      </c>
      <c r="AC4" s="59">
        <f>G4/(AA4*AB4)</f>
        <v>15.201083333333333</v>
      </c>
      <c r="AD4" s="59">
        <v>80</v>
      </c>
      <c r="AE4" s="153">
        <f>5*AD4/4</f>
        <v>100</v>
      </c>
      <c r="AF4" s="150">
        <f t="shared" ref="AF4:AF26" si="1">V4</f>
        <v>0.91206500000000013</v>
      </c>
      <c r="AG4" s="153">
        <f t="shared" ref="AG4:AG26" si="2">AE4</f>
        <v>100</v>
      </c>
      <c r="AH4" s="315"/>
      <c r="AI4" s="319"/>
      <c r="AJ4" s="317"/>
      <c r="AK4" s="150">
        <f t="shared" ref="AK4:AK26" si="3">R4</f>
        <v>1.8241300000000003</v>
      </c>
      <c r="AL4" s="153">
        <f t="shared" ref="AL4:AL26" si="4">AC4</f>
        <v>15.201083333333333</v>
      </c>
      <c r="AM4" s="323"/>
      <c r="AN4" s="306"/>
      <c r="AO4" s="321"/>
      <c r="AP4" s="304"/>
    </row>
    <row r="5" spans="2:42" ht="15.75" thickBot="1" x14ac:dyDescent="0.3">
      <c r="B5" s="149">
        <v>20.894650354002877</v>
      </c>
      <c r="C5" s="52" t="s">
        <v>34</v>
      </c>
      <c r="D5" s="69" t="s">
        <v>154</v>
      </c>
      <c r="E5" s="52">
        <v>0.78</v>
      </c>
      <c r="F5" s="52">
        <f t="shared" ref="F5" si="5">B5*E5</f>
        <v>16.297827276122245</v>
      </c>
      <c r="G5" s="52">
        <f t="shared" si="0"/>
        <v>16.297827276122245</v>
      </c>
      <c r="H5" s="52" t="s">
        <v>159</v>
      </c>
      <c r="I5" s="48">
        <v>14</v>
      </c>
      <c r="J5" s="48">
        <v>6</v>
      </c>
      <c r="K5" s="52">
        <v>80</v>
      </c>
      <c r="L5" s="52">
        <v>2</v>
      </c>
      <c r="M5" s="48">
        <v>12</v>
      </c>
      <c r="N5" s="64">
        <f t="shared" ref="N5" si="6">((I5-J5)/100)*K5*(1-(L5/100))</f>
        <v>6.2720000000000002</v>
      </c>
      <c r="O5" s="65">
        <v>0.2</v>
      </c>
      <c r="P5" s="52">
        <f t="shared" ref="P5" si="7">N5*O5</f>
        <v>1.2544000000000002</v>
      </c>
      <c r="Q5" s="52">
        <f t="shared" ref="Q5" si="8">P5*10</f>
        <v>12.544000000000002</v>
      </c>
      <c r="R5" s="52">
        <f t="shared" ref="R5" si="9">G5/Q5</f>
        <v>1.2992528121908675</v>
      </c>
      <c r="S5" s="65">
        <v>0.4</v>
      </c>
      <c r="T5" s="52">
        <f t="shared" ref="T5" si="10">N5*S5</f>
        <v>2.5088000000000004</v>
      </c>
      <c r="U5" s="52">
        <f t="shared" ref="U5" si="11">T5*10</f>
        <v>25.088000000000005</v>
      </c>
      <c r="V5" s="52">
        <f t="shared" ref="V5" si="12">G5/U5</f>
        <v>0.64962640609543376</v>
      </c>
      <c r="W5" s="52">
        <v>4</v>
      </c>
      <c r="X5" s="52">
        <v>2</v>
      </c>
      <c r="Y5" s="52">
        <f t="shared" ref="Y5" si="13">10000/(W5*X5)</f>
        <v>1250</v>
      </c>
      <c r="Z5" s="52">
        <v>4</v>
      </c>
      <c r="AA5" s="52">
        <f t="shared" ref="AA5" si="14">Y5*Z5/10000</f>
        <v>0.5</v>
      </c>
      <c r="AB5" s="65">
        <v>0.9</v>
      </c>
      <c r="AC5" s="52">
        <f t="shared" ref="AC5" si="15">G5/(AA5*AB5)</f>
        <v>36.217393946938323</v>
      </c>
      <c r="AD5" s="52">
        <v>70</v>
      </c>
      <c r="AE5" s="152">
        <f t="shared" ref="AE5" si="16">5*AD5/4</f>
        <v>87.5</v>
      </c>
      <c r="AF5" s="149">
        <f t="shared" si="1"/>
        <v>0.64962640609543376</v>
      </c>
      <c r="AG5" s="152">
        <f t="shared" si="2"/>
        <v>87.5</v>
      </c>
      <c r="AH5" s="314">
        <f t="shared" ref="AH5" si="17">AF5-AF6</f>
        <v>5.4299775240053139E-3</v>
      </c>
      <c r="AI5" s="318">
        <f t="shared" ref="AI5" si="18">ABS(AF5-AF6)/AF6</f>
        <v>8.4290711391350696E-3</v>
      </c>
      <c r="AJ5" s="316">
        <f t="shared" ref="AJ5" si="19">ABS(AG5-AG6)/AG6</f>
        <v>0</v>
      </c>
      <c r="AK5" s="149">
        <f t="shared" si="3"/>
        <v>1.2992528121908675</v>
      </c>
      <c r="AL5" s="152">
        <f t="shared" si="4"/>
        <v>36.217393946938323</v>
      </c>
      <c r="AM5" s="322">
        <f t="shared" ref="AM5" si="20">AK5-AK6</f>
        <v>1.0859955048010628E-2</v>
      </c>
      <c r="AN5" s="305">
        <f t="shared" ref="AN5" si="21">ABS(AK5-AK6)/AK6</f>
        <v>8.4290711391350696E-3</v>
      </c>
      <c r="AO5" s="320">
        <f t="shared" ref="AO5" si="22">AL5-AL6</f>
        <v>0.30272728027165385</v>
      </c>
      <c r="AP5" s="303">
        <f t="shared" ref="AP5" si="23">ABS(AL5-AL6)/AL6</f>
        <v>8.4290711391350002E-3</v>
      </c>
    </row>
    <row r="6" spans="2:42" ht="15.75" thickBot="1" x14ac:dyDescent="0.3">
      <c r="B6" s="151">
        <v>20.72</v>
      </c>
      <c r="C6" s="134" t="s">
        <v>34</v>
      </c>
      <c r="D6" s="68" t="s">
        <v>154</v>
      </c>
      <c r="E6" s="59">
        <v>0.78</v>
      </c>
      <c r="F6" s="59">
        <f t="shared" ref="F6:F26" si="24">B6*E6</f>
        <v>16.1616</v>
      </c>
      <c r="G6" s="52">
        <f t="shared" si="0"/>
        <v>16.1616</v>
      </c>
      <c r="H6" s="59" t="s">
        <v>159</v>
      </c>
      <c r="I6" s="55">
        <v>14</v>
      </c>
      <c r="J6" s="55">
        <v>6</v>
      </c>
      <c r="K6" s="59">
        <v>80</v>
      </c>
      <c r="L6" s="59">
        <v>2</v>
      </c>
      <c r="M6" s="55">
        <v>12</v>
      </c>
      <c r="N6" s="70">
        <f t="shared" ref="N6:N26" si="25">((I6-J6)/100)*K6*(1-(L6/100))</f>
        <v>6.2720000000000002</v>
      </c>
      <c r="O6" s="71">
        <v>0.2</v>
      </c>
      <c r="P6" s="59">
        <f t="shared" ref="P6:P26" si="26">N6*O6</f>
        <v>1.2544000000000002</v>
      </c>
      <c r="Q6" s="59">
        <f t="shared" ref="Q6:Q26" si="27">P6*10</f>
        <v>12.544000000000002</v>
      </c>
      <c r="R6" s="59">
        <f t="shared" ref="R6:R26" si="28">G6/Q6</f>
        <v>1.2883928571428569</v>
      </c>
      <c r="S6" s="71">
        <v>0.4</v>
      </c>
      <c r="T6" s="59">
        <f t="shared" ref="T6:T26" si="29">N6*S6</f>
        <v>2.5088000000000004</v>
      </c>
      <c r="U6" s="59">
        <f t="shared" ref="U6:U26" si="30">T6*10</f>
        <v>25.088000000000005</v>
      </c>
      <c r="V6" s="59">
        <f t="shared" ref="V6:V26" si="31">G6/U6</f>
        <v>0.64419642857142845</v>
      </c>
      <c r="W6" s="59">
        <v>4</v>
      </c>
      <c r="X6" s="59">
        <v>2</v>
      </c>
      <c r="Y6" s="59">
        <f t="shared" ref="Y6:Y26" si="32">10000/(W6*X6)</f>
        <v>1250</v>
      </c>
      <c r="Z6" s="59">
        <v>4</v>
      </c>
      <c r="AA6" s="59">
        <f t="shared" ref="AA6:AA26" si="33">Y6*Z6/10000</f>
        <v>0.5</v>
      </c>
      <c r="AB6" s="71">
        <v>0.9</v>
      </c>
      <c r="AC6" s="59">
        <f t="shared" ref="AC6:AC26" si="34">G6/(AA6*AB6)</f>
        <v>35.914666666666669</v>
      </c>
      <c r="AD6" s="59">
        <v>70</v>
      </c>
      <c r="AE6" s="153">
        <f t="shared" ref="AE6:AE26" si="35">5*AD6/4</f>
        <v>87.5</v>
      </c>
      <c r="AF6" s="150">
        <f t="shared" si="1"/>
        <v>0.64419642857142845</v>
      </c>
      <c r="AG6" s="153">
        <f t="shared" si="2"/>
        <v>87.5</v>
      </c>
      <c r="AH6" s="315"/>
      <c r="AI6" s="319"/>
      <c r="AJ6" s="317"/>
      <c r="AK6" s="150">
        <f t="shared" si="3"/>
        <v>1.2883928571428569</v>
      </c>
      <c r="AL6" s="153">
        <f t="shared" si="4"/>
        <v>35.914666666666669</v>
      </c>
      <c r="AM6" s="323"/>
      <c r="AN6" s="306"/>
      <c r="AO6" s="321"/>
      <c r="AP6" s="304"/>
    </row>
    <row r="7" spans="2:42" ht="15.75" thickBot="1" x14ac:dyDescent="0.3">
      <c r="B7" s="149">
        <v>19.930215774072259</v>
      </c>
      <c r="C7" s="52" t="s">
        <v>34</v>
      </c>
      <c r="D7" s="69" t="s">
        <v>155</v>
      </c>
      <c r="E7" s="52">
        <v>0.76</v>
      </c>
      <c r="F7" s="52">
        <f t="shared" ref="F7" si="36">B7*E7</f>
        <v>15.146963988294917</v>
      </c>
      <c r="G7" s="52">
        <f t="shared" si="0"/>
        <v>15.146963988294917</v>
      </c>
      <c r="H7" s="52" t="s">
        <v>160</v>
      </c>
      <c r="I7" s="48">
        <v>22</v>
      </c>
      <c r="J7" s="48">
        <v>10</v>
      </c>
      <c r="K7" s="52">
        <v>60</v>
      </c>
      <c r="L7" s="52">
        <v>4</v>
      </c>
      <c r="M7" s="48">
        <v>17</v>
      </c>
      <c r="N7" s="64">
        <f t="shared" ref="N7" si="37">((I7-J7)/100)*K7*(1-(L7/100))</f>
        <v>6.911999999999999</v>
      </c>
      <c r="O7" s="65">
        <v>0.2</v>
      </c>
      <c r="P7" s="52">
        <f t="shared" ref="P7" si="38">N7*O7</f>
        <v>1.3823999999999999</v>
      </c>
      <c r="Q7" s="52">
        <f t="shared" ref="Q7" si="39">P7*10</f>
        <v>13.823999999999998</v>
      </c>
      <c r="R7" s="52">
        <f t="shared" ref="R7" si="40">G7/Q7</f>
        <v>1.0957005199866117</v>
      </c>
      <c r="S7" s="65">
        <v>0.4</v>
      </c>
      <c r="T7" s="52">
        <f t="shared" ref="T7" si="41">N7*S7</f>
        <v>2.7647999999999997</v>
      </c>
      <c r="U7" s="52">
        <f t="shared" ref="U7" si="42">T7*10</f>
        <v>27.647999999999996</v>
      </c>
      <c r="V7" s="52">
        <f t="shared" ref="V7" si="43">G7/U7</f>
        <v>0.54785025999330583</v>
      </c>
      <c r="W7" s="52">
        <v>4</v>
      </c>
      <c r="X7" s="52">
        <v>1</v>
      </c>
      <c r="Y7" s="52">
        <f t="shared" ref="Y7" si="44">10000/(W7*X7)</f>
        <v>2500</v>
      </c>
      <c r="Z7" s="52">
        <v>3</v>
      </c>
      <c r="AA7" s="52">
        <f t="shared" ref="AA7" si="45">Y7*Z7/10000</f>
        <v>0.75</v>
      </c>
      <c r="AB7" s="65">
        <v>0.9</v>
      </c>
      <c r="AC7" s="52">
        <f t="shared" ref="AC7" si="46">G7/(AA7*AB7)</f>
        <v>22.439946649325801</v>
      </c>
      <c r="AD7" s="52">
        <v>60</v>
      </c>
      <c r="AE7" s="152">
        <f t="shared" ref="AE7" si="47">5*AD7/4</f>
        <v>75</v>
      </c>
      <c r="AF7" s="149">
        <f t="shared" si="1"/>
        <v>0.54785025999330583</v>
      </c>
      <c r="AG7" s="152">
        <f t="shared" si="2"/>
        <v>75</v>
      </c>
      <c r="AH7" s="314">
        <f t="shared" ref="AH7" si="48">AF7-AF8</f>
        <v>6.9826533141453928E-2</v>
      </c>
      <c r="AI7" s="318">
        <f t="shared" ref="AI7" si="49">ABS(AF7-AF8)/AF8</f>
        <v>0.14607336251134334</v>
      </c>
      <c r="AJ7" s="316">
        <f t="shared" ref="AJ7" si="50">ABS(AG7-AG8)/AG8</f>
        <v>0</v>
      </c>
      <c r="AK7" s="149">
        <f t="shared" si="3"/>
        <v>1.0957005199866117</v>
      </c>
      <c r="AL7" s="152">
        <f t="shared" si="4"/>
        <v>22.439946649325801</v>
      </c>
      <c r="AM7" s="322">
        <f t="shared" ref="AM7" si="51">AK7-AK8</f>
        <v>0.13965306628290786</v>
      </c>
      <c r="AN7" s="305">
        <f t="shared" ref="AN7" si="52">ABS(AK7-AK8)/AK8</f>
        <v>0.14607336251134334</v>
      </c>
      <c r="AO7" s="320">
        <f t="shared" ref="AO7" si="53">AL7-AL8</f>
        <v>2.8600947974739519</v>
      </c>
      <c r="AP7" s="303">
        <f t="shared" ref="AP7" si="54">ABS(AL7-AL8)/AL8</f>
        <v>0.14607336251134331</v>
      </c>
    </row>
    <row r="8" spans="2:42" ht="15.75" thickBot="1" x14ac:dyDescent="0.3">
      <c r="B8" s="150">
        <v>17.39</v>
      </c>
      <c r="C8" s="59" t="s">
        <v>34</v>
      </c>
      <c r="D8" s="68" t="s">
        <v>155</v>
      </c>
      <c r="E8" s="59">
        <v>0.76</v>
      </c>
      <c r="F8" s="59">
        <f t="shared" si="24"/>
        <v>13.2164</v>
      </c>
      <c r="G8" s="52">
        <f t="shared" si="0"/>
        <v>13.2164</v>
      </c>
      <c r="H8" s="59" t="s">
        <v>160</v>
      </c>
      <c r="I8" s="55">
        <v>22</v>
      </c>
      <c r="J8" s="55">
        <v>10</v>
      </c>
      <c r="K8" s="59">
        <v>60</v>
      </c>
      <c r="L8" s="59">
        <v>4</v>
      </c>
      <c r="M8" s="55">
        <v>17</v>
      </c>
      <c r="N8" s="70">
        <f t="shared" si="25"/>
        <v>6.911999999999999</v>
      </c>
      <c r="O8" s="71">
        <v>0.2</v>
      </c>
      <c r="P8" s="59">
        <f t="shared" si="26"/>
        <v>1.3823999999999999</v>
      </c>
      <c r="Q8" s="59">
        <f t="shared" si="27"/>
        <v>13.823999999999998</v>
      </c>
      <c r="R8" s="59">
        <f t="shared" si="28"/>
        <v>0.95604745370370381</v>
      </c>
      <c r="S8" s="71">
        <v>0.4</v>
      </c>
      <c r="T8" s="59">
        <f t="shared" si="29"/>
        <v>2.7647999999999997</v>
      </c>
      <c r="U8" s="59">
        <f t="shared" si="30"/>
        <v>27.647999999999996</v>
      </c>
      <c r="V8" s="59">
        <f t="shared" si="31"/>
        <v>0.4780237268518519</v>
      </c>
      <c r="W8" s="59">
        <v>4</v>
      </c>
      <c r="X8" s="59">
        <v>1</v>
      </c>
      <c r="Y8" s="59">
        <f t="shared" si="32"/>
        <v>2500</v>
      </c>
      <c r="Z8" s="59">
        <v>3</v>
      </c>
      <c r="AA8" s="59">
        <f t="shared" si="33"/>
        <v>0.75</v>
      </c>
      <c r="AB8" s="71">
        <v>0.9</v>
      </c>
      <c r="AC8" s="59">
        <f t="shared" si="34"/>
        <v>19.579851851851849</v>
      </c>
      <c r="AD8" s="59">
        <v>60</v>
      </c>
      <c r="AE8" s="153">
        <f t="shared" si="35"/>
        <v>75</v>
      </c>
      <c r="AF8" s="150">
        <f t="shared" si="1"/>
        <v>0.4780237268518519</v>
      </c>
      <c r="AG8" s="153">
        <f t="shared" si="2"/>
        <v>75</v>
      </c>
      <c r="AH8" s="315"/>
      <c r="AI8" s="319"/>
      <c r="AJ8" s="317"/>
      <c r="AK8" s="150">
        <f t="shared" si="3"/>
        <v>0.95604745370370381</v>
      </c>
      <c r="AL8" s="153">
        <f t="shared" si="4"/>
        <v>19.579851851851849</v>
      </c>
      <c r="AM8" s="323"/>
      <c r="AN8" s="306"/>
      <c r="AO8" s="321"/>
      <c r="AP8" s="304"/>
    </row>
    <row r="9" spans="2:42" ht="15.75" thickBot="1" x14ac:dyDescent="0.3">
      <c r="B9" s="149">
        <v>19.732536364573527</v>
      </c>
      <c r="C9" s="52" t="s">
        <v>150</v>
      </c>
      <c r="D9" s="69" t="s">
        <v>156</v>
      </c>
      <c r="E9" s="52">
        <v>0.9</v>
      </c>
      <c r="F9" s="52">
        <f t="shared" ref="F9" si="55">B9*E9</f>
        <v>17.759282728116176</v>
      </c>
      <c r="G9" s="52">
        <f t="shared" si="0"/>
        <v>17.759282728116176</v>
      </c>
      <c r="H9" s="52" t="s">
        <v>161</v>
      </c>
      <c r="I9" s="48">
        <v>27</v>
      </c>
      <c r="J9" s="48">
        <v>13</v>
      </c>
      <c r="K9" s="52">
        <v>50</v>
      </c>
      <c r="L9" s="52">
        <v>6</v>
      </c>
      <c r="M9" s="48">
        <v>19</v>
      </c>
      <c r="N9" s="64">
        <f t="shared" ref="N9" si="56">((I9-J9)/100)*K9*(1-(L9/100))</f>
        <v>6.58</v>
      </c>
      <c r="O9" s="65">
        <v>0.2</v>
      </c>
      <c r="P9" s="52">
        <f t="shared" ref="P9" si="57">N9*O9</f>
        <v>1.3160000000000001</v>
      </c>
      <c r="Q9" s="52">
        <f t="shared" ref="Q9" si="58">P9*10</f>
        <v>13.16</v>
      </c>
      <c r="R9" s="52">
        <f t="shared" ref="R9" si="59">G9/Q9</f>
        <v>1.3494895690057884</v>
      </c>
      <c r="S9" s="65">
        <v>0.4</v>
      </c>
      <c r="T9" s="52">
        <f t="shared" ref="T9" si="60">N9*S9</f>
        <v>2.6320000000000001</v>
      </c>
      <c r="U9" s="52">
        <f t="shared" ref="U9" si="61">T9*10</f>
        <v>26.32</v>
      </c>
      <c r="V9" s="52">
        <f t="shared" ref="V9" si="62">G9/U9</f>
        <v>0.67474478450289421</v>
      </c>
      <c r="W9" s="52">
        <v>3</v>
      </c>
      <c r="X9" s="52">
        <v>1</v>
      </c>
      <c r="Y9" s="52">
        <f t="shared" ref="Y9" si="63">10000/(W9*X9)</f>
        <v>3333.3333333333335</v>
      </c>
      <c r="Z9" s="52">
        <v>3</v>
      </c>
      <c r="AA9" s="52">
        <f t="shared" ref="AA9" si="64">Y9*Z9/10000</f>
        <v>1</v>
      </c>
      <c r="AB9" s="65">
        <v>0.9</v>
      </c>
      <c r="AC9" s="52">
        <f t="shared" ref="AC9" si="65">G9/(AA9*AB9)</f>
        <v>19.73253636457353</v>
      </c>
      <c r="AD9" s="52">
        <v>50</v>
      </c>
      <c r="AE9" s="152">
        <f t="shared" ref="AE9" si="66">5*AD9/4</f>
        <v>62.5</v>
      </c>
      <c r="AF9" s="149">
        <f t="shared" si="1"/>
        <v>0.67474478450289421</v>
      </c>
      <c r="AG9" s="152">
        <f t="shared" si="2"/>
        <v>62.5</v>
      </c>
      <c r="AH9" s="314">
        <f t="shared" ref="AH9" si="67">AF9-AF10</f>
        <v>9.6857246508973316E-2</v>
      </c>
      <c r="AI9" s="318">
        <f t="shared" ref="AI9" si="68">ABS(AF9-AF10)/AF10</f>
        <v>0.16760570204577108</v>
      </c>
      <c r="AJ9" s="316">
        <f t="shared" ref="AJ9" si="69">ABS(AG9-AG10)/AG10</f>
        <v>0</v>
      </c>
      <c r="AK9" s="149">
        <f t="shared" si="3"/>
        <v>1.3494895690057884</v>
      </c>
      <c r="AL9" s="152">
        <f t="shared" si="4"/>
        <v>19.73253636457353</v>
      </c>
      <c r="AM9" s="322">
        <f t="shared" ref="AM9" si="70">AK9-AK10</f>
        <v>0.19371449301794663</v>
      </c>
      <c r="AN9" s="305">
        <f t="shared" ref="AN9" si="71">ABS(AK9-AK10)/AK10</f>
        <v>0.16760570204577108</v>
      </c>
      <c r="AO9" s="320">
        <f t="shared" ref="AO9" si="72">AL9-AL10</f>
        <v>2.8325363645735315</v>
      </c>
      <c r="AP9" s="303">
        <f t="shared" ref="AP9" si="73">ABS(AL9-AL10)/AL10</f>
        <v>0.1676057020457711</v>
      </c>
    </row>
    <row r="10" spans="2:42" ht="15.75" thickBot="1" x14ac:dyDescent="0.3">
      <c r="B10" s="150">
        <v>16.899999999999999</v>
      </c>
      <c r="C10" s="59" t="s">
        <v>150</v>
      </c>
      <c r="D10" s="68" t="s">
        <v>156</v>
      </c>
      <c r="E10" s="59">
        <v>0.9</v>
      </c>
      <c r="F10" s="59">
        <f t="shared" si="24"/>
        <v>15.209999999999999</v>
      </c>
      <c r="G10" s="52">
        <f t="shared" si="0"/>
        <v>15.209999999999999</v>
      </c>
      <c r="H10" s="59" t="s">
        <v>161</v>
      </c>
      <c r="I10" s="55">
        <v>27</v>
      </c>
      <c r="J10" s="55">
        <v>13</v>
      </c>
      <c r="K10" s="59">
        <v>50</v>
      </c>
      <c r="L10" s="59">
        <v>6</v>
      </c>
      <c r="M10" s="55">
        <v>19</v>
      </c>
      <c r="N10" s="70">
        <f t="shared" si="25"/>
        <v>6.58</v>
      </c>
      <c r="O10" s="71">
        <v>0.2</v>
      </c>
      <c r="P10" s="59">
        <f t="shared" si="26"/>
        <v>1.3160000000000001</v>
      </c>
      <c r="Q10" s="59">
        <f t="shared" si="27"/>
        <v>13.16</v>
      </c>
      <c r="R10" s="59">
        <f t="shared" si="28"/>
        <v>1.1557750759878418</v>
      </c>
      <c r="S10" s="71">
        <v>0.4</v>
      </c>
      <c r="T10" s="59">
        <f t="shared" si="29"/>
        <v>2.6320000000000001</v>
      </c>
      <c r="U10" s="59">
        <f t="shared" si="30"/>
        <v>26.32</v>
      </c>
      <c r="V10" s="59">
        <f t="shared" si="31"/>
        <v>0.5778875379939209</v>
      </c>
      <c r="W10" s="59">
        <v>3</v>
      </c>
      <c r="X10" s="59">
        <v>1</v>
      </c>
      <c r="Y10" s="59">
        <f t="shared" si="32"/>
        <v>3333.3333333333335</v>
      </c>
      <c r="Z10" s="59">
        <v>3</v>
      </c>
      <c r="AA10" s="59">
        <f t="shared" si="33"/>
        <v>1</v>
      </c>
      <c r="AB10" s="71">
        <v>0.9</v>
      </c>
      <c r="AC10" s="59">
        <f t="shared" si="34"/>
        <v>16.899999999999999</v>
      </c>
      <c r="AD10" s="59">
        <v>50</v>
      </c>
      <c r="AE10" s="153">
        <f t="shared" si="35"/>
        <v>62.5</v>
      </c>
      <c r="AF10" s="150">
        <f t="shared" si="1"/>
        <v>0.5778875379939209</v>
      </c>
      <c r="AG10" s="153">
        <f t="shared" si="2"/>
        <v>62.5</v>
      </c>
      <c r="AH10" s="315"/>
      <c r="AI10" s="319"/>
      <c r="AJ10" s="317"/>
      <c r="AK10" s="150">
        <f t="shared" si="3"/>
        <v>1.1557750759878418</v>
      </c>
      <c r="AL10" s="153">
        <f t="shared" si="4"/>
        <v>16.899999999999999</v>
      </c>
      <c r="AM10" s="323"/>
      <c r="AN10" s="306"/>
      <c r="AO10" s="321"/>
      <c r="AP10" s="304"/>
    </row>
    <row r="11" spans="2:42" ht="15.75" thickBot="1" x14ac:dyDescent="0.3">
      <c r="B11" s="149">
        <v>27.02587895264994</v>
      </c>
      <c r="C11" s="52" t="s">
        <v>150</v>
      </c>
      <c r="D11" s="69" t="s">
        <v>157</v>
      </c>
      <c r="E11" s="52">
        <v>0.7</v>
      </c>
      <c r="F11" s="52">
        <f t="shared" ref="F11" si="74">B11*E11</f>
        <v>18.918115266854958</v>
      </c>
      <c r="G11" s="52">
        <f t="shared" si="0"/>
        <v>18.918115266854958</v>
      </c>
      <c r="H11" s="52" t="s">
        <v>162</v>
      </c>
      <c r="I11" s="48">
        <v>31</v>
      </c>
      <c r="J11" s="48">
        <v>15</v>
      </c>
      <c r="K11" s="52">
        <v>40</v>
      </c>
      <c r="L11" s="52">
        <v>8</v>
      </c>
      <c r="M11" s="48">
        <v>21</v>
      </c>
      <c r="N11" s="64">
        <f t="shared" ref="N11" si="75">((I11-J11)/100)*K11*(1-(L11/100))</f>
        <v>5.8880000000000008</v>
      </c>
      <c r="O11" s="65">
        <v>0.2</v>
      </c>
      <c r="P11" s="52">
        <f t="shared" ref="P11" si="76">N11*O11</f>
        <v>1.1776000000000002</v>
      </c>
      <c r="Q11" s="52">
        <f t="shared" ref="Q11" si="77">P11*10</f>
        <v>11.776000000000002</v>
      </c>
      <c r="R11" s="52">
        <f t="shared" ref="R11" si="78">G11/Q11</f>
        <v>1.6064975600250471</v>
      </c>
      <c r="S11" s="65">
        <v>0.4</v>
      </c>
      <c r="T11" s="52">
        <f t="shared" ref="T11" si="79">N11*S11</f>
        <v>2.3552000000000004</v>
      </c>
      <c r="U11" s="52">
        <f t="shared" ref="U11" si="80">T11*10</f>
        <v>23.552000000000003</v>
      </c>
      <c r="V11" s="52">
        <f t="shared" ref="V11" si="81">G11/U11</f>
        <v>0.80324878001252353</v>
      </c>
      <c r="W11" s="52">
        <v>4</v>
      </c>
      <c r="X11" s="52">
        <v>2</v>
      </c>
      <c r="Y11" s="52">
        <f t="shared" ref="Y11" si="82">10000/(W11*X11)</f>
        <v>1250</v>
      </c>
      <c r="Z11" s="52">
        <v>8</v>
      </c>
      <c r="AA11" s="52">
        <f t="shared" ref="AA11" si="83">Y11*Z11/10000</f>
        <v>1</v>
      </c>
      <c r="AB11" s="65">
        <v>0.9</v>
      </c>
      <c r="AC11" s="52">
        <f t="shared" ref="AC11" si="84">G11/(AA11*AB11)</f>
        <v>21.020128074283285</v>
      </c>
      <c r="AD11" s="52">
        <v>40</v>
      </c>
      <c r="AE11" s="152">
        <f t="shared" ref="AE11" si="85">5*AD11/4</f>
        <v>50</v>
      </c>
      <c r="AF11" s="149">
        <f t="shared" si="1"/>
        <v>0.80324878001252353</v>
      </c>
      <c r="AG11" s="152">
        <f t="shared" si="2"/>
        <v>50</v>
      </c>
      <c r="AH11" s="314">
        <f t="shared" ref="AH11" si="86">AF11-AF12</f>
        <v>9.9147217512523644E-2</v>
      </c>
      <c r="AI11" s="318">
        <f t="shared" ref="AI11" si="87">ABS(AF11-AF12)/AF12</f>
        <v>0.14081380129379228</v>
      </c>
      <c r="AJ11" s="316">
        <f t="shared" ref="AJ11" si="88">ABS(AG11-AG12)/AG12</f>
        <v>0</v>
      </c>
      <c r="AK11" s="149">
        <f t="shared" si="3"/>
        <v>1.6064975600250471</v>
      </c>
      <c r="AL11" s="152">
        <f t="shared" si="4"/>
        <v>21.020128074283285</v>
      </c>
      <c r="AM11" s="322">
        <f t="shared" ref="AM11" si="89">AK11-AK12</f>
        <v>0.19829443502504729</v>
      </c>
      <c r="AN11" s="305">
        <f t="shared" ref="AN11" si="90">ABS(AK11-AK12)/AK12</f>
        <v>0.14081380129379228</v>
      </c>
      <c r="AO11" s="320">
        <f t="shared" ref="AO11" si="91">AL11-AL12</f>
        <v>2.5945725187277304</v>
      </c>
      <c r="AP11" s="303">
        <f t="shared" ref="AP11" si="92">ABS(AL11-AL12)/AL12</f>
        <v>0.14081380129379228</v>
      </c>
    </row>
    <row r="12" spans="2:42" ht="15.75" thickBot="1" x14ac:dyDescent="0.3">
      <c r="B12" s="150">
        <v>23.69</v>
      </c>
      <c r="C12" s="59" t="s">
        <v>150</v>
      </c>
      <c r="D12" s="68" t="s">
        <v>157</v>
      </c>
      <c r="E12" s="59">
        <v>0.7</v>
      </c>
      <c r="F12" s="59">
        <f t="shared" si="24"/>
        <v>16.582999999999998</v>
      </c>
      <c r="G12" s="52">
        <f t="shared" si="0"/>
        <v>16.582999999999998</v>
      </c>
      <c r="H12" s="59" t="s">
        <v>162</v>
      </c>
      <c r="I12" s="55">
        <v>31</v>
      </c>
      <c r="J12" s="55">
        <v>15</v>
      </c>
      <c r="K12" s="59">
        <v>40</v>
      </c>
      <c r="L12" s="59">
        <v>8</v>
      </c>
      <c r="M12" s="55">
        <v>21</v>
      </c>
      <c r="N12" s="70">
        <f t="shared" si="25"/>
        <v>5.8880000000000008</v>
      </c>
      <c r="O12" s="71">
        <v>0.2</v>
      </c>
      <c r="P12" s="59">
        <f t="shared" si="26"/>
        <v>1.1776000000000002</v>
      </c>
      <c r="Q12" s="59">
        <f t="shared" si="27"/>
        <v>11.776000000000002</v>
      </c>
      <c r="R12" s="59">
        <f t="shared" si="28"/>
        <v>1.4082031249999998</v>
      </c>
      <c r="S12" s="71">
        <v>0.4</v>
      </c>
      <c r="T12" s="59">
        <f t="shared" si="29"/>
        <v>2.3552000000000004</v>
      </c>
      <c r="U12" s="59">
        <f t="shared" si="30"/>
        <v>23.552000000000003</v>
      </c>
      <c r="V12" s="59">
        <f t="shared" si="31"/>
        <v>0.70410156249999989</v>
      </c>
      <c r="W12" s="59">
        <v>4</v>
      </c>
      <c r="X12" s="59">
        <v>2</v>
      </c>
      <c r="Y12" s="59">
        <f t="shared" si="32"/>
        <v>1250</v>
      </c>
      <c r="Z12" s="59">
        <v>8</v>
      </c>
      <c r="AA12" s="59">
        <f t="shared" si="33"/>
        <v>1</v>
      </c>
      <c r="AB12" s="71">
        <v>0.9</v>
      </c>
      <c r="AC12" s="59">
        <f t="shared" si="34"/>
        <v>18.425555555555555</v>
      </c>
      <c r="AD12" s="59">
        <v>40</v>
      </c>
      <c r="AE12" s="153">
        <f t="shared" si="35"/>
        <v>50</v>
      </c>
      <c r="AF12" s="150">
        <f t="shared" si="1"/>
        <v>0.70410156249999989</v>
      </c>
      <c r="AG12" s="153">
        <f t="shared" si="2"/>
        <v>50</v>
      </c>
      <c r="AH12" s="315"/>
      <c r="AI12" s="319"/>
      <c r="AJ12" s="317"/>
      <c r="AK12" s="150">
        <f t="shared" si="3"/>
        <v>1.4082031249999998</v>
      </c>
      <c r="AL12" s="153">
        <f t="shared" si="4"/>
        <v>18.425555555555555</v>
      </c>
      <c r="AM12" s="323"/>
      <c r="AN12" s="306"/>
      <c r="AO12" s="321"/>
      <c r="AP12" s="304"/>
    </row>
    <row r="13" spans="2:42" ht="15.75" thickBot="1" x14ac:dyDescent="0.3">
      <c r="B13" s="149">
        <v>20.894650354002877</v>
      </c>
      <c r="C13" s="52" t="s">
        <v>150</v>
      </c>
      <c r="D13" s="69" t="s">
        <v>153</v>
      </c>
      <c r="E13" s="52">
        <v>0.4</v>
      </c>
      <c r="F13" s="52">
        <f>B13*E13</f>
        <v>8.3578601416011509</v>
      </c>
      <c r="G13" s="52">
        <f t="shared" si="0"/>
        <v>8.3578601416011509</v>
      </c>
      <c r="H13" s="52" t="s">
        <v>163</v>
      </c>
      <c r="I13" s="48">
        <v>35</v>
      </c>
      <c r="J13" s="48">
        <v>17</v>
      </c>
      <c r="K13" s="52">
        <v>30</v>
      </c>
      <c r="L13" s="52">
        <v>10</v>
      </c>
      <c r="M13" s="48">
        <v>23</v>
      </c>
      <c r="N13" s="64">
        <f>((I13-J13)/100)*K13*(1-(L13/100))</f>
        <v>4.8599999999999994</v>
      </c>
      <c r="O13" s="65">
        <v>0.2</v>
      </c>
      <c r="P13" s="52">
        <f>N13*O13</f>
        <v>0.97199999999999998</v>
      </c>
      <c r="Q13" s="52">
        <f>P13*10</f>
        <v>9.7199999999999989</v>
      </c>
      <c r="R13" s="52">
        <f>G13/Q13</f>
        <v>0.85986215448571524</v>
      </c>
      <c r="S13" s="65">
        <v>0.4</v>
      </c>
      <c r="T13" s="52">
        <f>N13*S13</f>
        <v>1.944</v>
      </c>
      <c r="U13" s="52">
        <f>T13*10</f>
        <v>19.439999999999998</v>
      </c>
      <c r="V13" s="52">
        <f>G13/U13</f>
        <v>0.42993107724285762</v>
      </c>
      <c r="W13" s="52">
        <v>2</v>
      </c>
      <c r="X13" s="52">
        <v>1</v>
      </c>
      <c r="Y13" s="52">
        <f>10000/(W13*X13)</f>
        <v>5000</v>
      </c>
      <c r="Z13" s="52">
        <v>4</v>
      </c>
      <c r="AA13" s="52">
        <f>Y13*Z13/10000</f>
        <v>2</v>
      </c>
      <c r="AB13" s="65">
        <v>0.9</v>
      </c>
      <c r="AC13" s="52">
        <f>G13/(AA13*AB13)</f>
        <v>4.6432556342228617</v>
      </c>
      <c r="AD13" s="52">
        <v>30</v>
      </c>
      <c r="AE13" s="152">
        <f>5*AD13/4</f>
        <v>37.5</v>
      </c>
      <c r="AF13" s="149">
        <f t="shared" si="1"/>
        <v>0.42993107724285762</v>
      </c>
      <c r="AG13" s="152">
        <f t="shared" si="2"/>
        <v>37.5</v>
      </c>
      <c r="AH13" s="314">
        <f t="shared" ref="AH13" si="93">AF13-AF14</f>
        <v>3.5936286831868003E-3</v>
      </c>
      <c r="AI13" s="318">
        <f t="shared" ref="AI13" si="94">ABS(AF13-AF14)/AF14</f>
        <v>8.4290711391350609E-3</v>
      </c>
      <c r="AJ13" s="316">
        <f t="shared" ref="AJ13" si="95">ABS(AG13-AG14)/AG14</f>
        <v>0</v>
      </c>
      <c r="AK13" s="149">
        <f t="shared" si="3"/>
        <v>0.85986215448571524</v>
      </c>
      <c r="AL13" s="152">
        <f t="shared" si="4"/>
        <v>4.6432556342228617</v>
      </c>
      <c r="AM13" s="322">
        <f t="shared" ref="AM13" si="96">AK13-AK14</f>
        <v>7.1872573663736006E-3</v>
      </c>
      <c r="AN13" s="305">
        <f t="shared" ref="AN13" si="97">ABS(AK13-AK14)/AK14</f>
        <v>8.4290711391350609E-3</v>
      </c>
      <c r="AO13" s="320">
        <f t="shared" ref="AO13" si="98">AL13-AL14</f>
        <v>3.881118977841691E-2</v>
      </c>
      <c r="AP13" s="303">
        <f t="shared" ref="AP13" si="99">ABS(AL13-AL14)/AL14</f>
        <v>8.4290711391349464E-3</v>
      </c>
    </row>
    <row r="14" spans="2:42" ht="15.75" thickBot="1" x14ac:dyDescent="0.3">
      <c r="B14" s="151">
        <v>20.72</v>
      </c>
      <c r="C14" s="134" t="s">
        <v>150</v>
      </c>
      <c r="D14" s="135" t="s">
        <v>153</v>
      </c>
      <c r="E14" s="134">
        <v>0.4</v>
      </c>
      <c r="F14" s="134">
        <f>B14*E14</f>
        <v>8.2880000000000003</v>
      </c>
      <c r="G14" s="52">
        <f t="shared" si="0"/>
        <v>8.2880000000000003</v>
      </c>
      <c r="H14" s="134" t="s">
        <v>163</v>
      </c>
      <c r="I14" s="117">
        <v>35</v>
      </c>
      <c r="J14" s="117">
        <v>17</v>
      </c>
      <c r="K14" s="134">
        <v>30</v>
      </c>
      <c r="L14" s="134">
        <v>10</v>
      </c>
      <c r="M14" s="117">
        <v>23</v>
      </c>
      <c r="N14" s="136">
        <f>((I14-J14)/100)*K14*(1-(L14/100))</f>
        <v>4.8599999999999994</v>
      </c>
      <c r="O14" s="137">
        <v>0.2</v>
      </c>
      <c r="P14" s="134">
        <f>N14*O14</f>
        <v>0.97199999999999998</v>
      </c>
      <c r="Q14" s="134">
        <f>P14*10</f>
        <v>9.7199999999999989</v>
      </c>
      <c r="R14" s="134">
        <f>G14/Q14</f>
        <v>0.85267489711934163</v>
      </c>
      <c r="S14" s="137">
        <v>0.4</v>
      </c>
      <c r="T14" s="134">
        <f>N14*S14</f>
        <v>1.944</v>
      </c>
      <c r="U14" s="134">
        <f>T14*10</f>
        <v>19.439999999999998</v>
      </c>
      <c r="V14" s="134">
        <f>G14/U14</f>
        <v>0.42633744855967082</v>
      </c>
      <c r="W14" s="134">
        <v>2</v>
      </c>
      <c r="X14" s="134">
        <v>1</v>
      </c>
      <c r="Y14" s="134">
        <f>10000/(W14*X14)</f>
        <v>5000</v>
      </c>
      <c r="Z14" s="134">
        <v>4</v>
      </c>
      <c r="AA14" s="134">
        <f>Y14*Z14/10000</f>
        <v>2</v>
      </c>
      <c r="AB14" s="137">
        <v>0.9</v>
      </c>
      <c r="AC14" s="134">
        <f>G14/(AA14*AB14)</f>
        <v>4.6044444444444448</v>
      </c>
      <c r="AD14" s="134">
        <v>30</v>
      </c>
      <c r="AE14" s="154">
        <f>5*AD14/4</f>
        <v>37.5</v>
      </c>
      <c r="AF14" s="150">
        <f t="shared" si="1"/>
        <v>0.42633744855967082</v>
      </c>
      <c r="AG14" s="153">
        <f t="shared" si="2"/>
        <v>37.5</v>
      </c>
      <c r="AH14" s="315"/>
      <c r="AI14" s="319"/>
      <c r="AJ14" s="317"/>
      <c r="AK14" s="150">
        <f t="shared" si="3"/>
        <v>0.85267489711934163</v>
      </c>
      <c r="AL14" s="153">
        <f t="shared" si="4"/>
        <v>4.6044444444444448</v>
      </c>
      <c r="AM14" s="323"/>
      <c r="AN14" s="306"/>
      <c r="AO14" s="321"/>
      <c r="AP14" s="304"/>
    </row>
    <row r="15" spans="2:42" ht="15.75" thickBot="1" x14ac:dyDescent="0.3">
      <c r="B15" s="149">
        <v>19.930215774072259</v>
      </c>
      <c r="C15" s="52" t="s">
        <v>34</v>
      </c>
      <c r="D15" s="69" t="s">
        <v>154</v>
      </c>
      <c r="E15" s="52">
        <v>0.78</v>
      </c>
      <c r="F15" s="52">
        <f t="shared" ref="F15" si="100">B15*E15</f>
        <v>15.545568303776363</v>
      </c>
      <c r="G15" s="52">
        <f t="shared" si="0"/>
        <v>15.545568303776363</v>
      </c>
      <c r="H15" s="52" t="s">
        <v>158</v>
      </c>
      <c r="I15" s="48">
        <v>9</v>
      </c>
      <c r="J15" s="48">
        <v>4</v>
      </c>
      <c r="K15" s="52">
        <v>100</v>
      </c>
      <c r="L15" s="52">
        <v>10</v>
      </c>
      <c r="M15" s="48">
        <v>8</v>
      </c>
      <c r="N15" s="64">
        <f t="shared" ref="N15" si="101">((I15-J15)/100)*K15*(1-(L15/100))</f>
        <v>4.5</v>
      </c>
      <c r="O15" s="65">
        <v>0.2</v>
      </c>
      <c r="P15" s="52">
        <f t="shared" ref="P15" si="102">N15*O15</f>
        <v>0.9</v>
      </c>
      <c r="Q15" s="52">
        <f t="shared" ref="Q15" si="103">P15*10</f>
        <v>9</v>
      </c>
      <c r="R15" s="52">
        <f t="shared" ref="R15" si="104">G15/Q15</f>
        <v>1.7272853670862627</v>
      </c>
      <c r="S15" s="65">
        <v>0.4</v>
      </c>
      <c r="T15" s="52">
        <f t="shared" ref="T15" si="105">N15*S15</f>
        <v>1.8</v>
      </c>
      <c r="U15" s="52">
        <f t="shared" ref="U15" si="106">T15*10</f>
        <v>18</v>
      </c>
      <c r="V15" s="52">
        <f t="shared" ref="V15" si="107">G15/U15</f>
        <v>0.86364268354313134</v>
      </c>
      <c r="W15" s="52">
        <v>1</v>
      </c>
      <c r="X15" s="52">
        <v>1</v>
      </c>
      <c r="Y15" s="52">
        <f t="shared" ref="Y15" si="108">10000/(W15*X15)</f>
        <v>10000</v>
      </c>
      <c r="Z15" s="52">
        <v>10</v>
      </c>
      <c r="AA15" s="52">
        <f t="shared" ref="AA15" si="109">Y15*Z15/10000</f>
        <v>10</v>
      </c>
      <c r="AB15" s="65">
        <v>0.9</v>
      </c>
      <c r="AC15" s="52">
        <f t="shared" ref="AC15" si="110">G15/(AA15*AB15)</f>
        <v>1.7272853670862627</v>
      </c>
      <c r="AD15" s="52">
        <v>80</v>
      </c>
      <c r="AE15" s="152">
        <f t="shared" ref="AE15" si="111">5*AD15/4</f>
        <v>100</v>
      </c>
      <c r="AF15" s="149">
        <f t="shared" si="1"/>
        <v>0.86364268354313134</v>
      </c>
      <c r="AG15" s="152">
        <f t="shared" si="2"/>
        <v>100</v>
      </c>
      <c r="AH15" s="314">
        <f t="shared" ref="AH15" si="112">AF15-AF16</f>
        <v>0.11007601687646462</v>
      </c>
      <c r="AI15" s="318">
        <f t="shared" ref="AI15" si="113">ABS(AF15-AF16)/AF16</f>
        <v>0.14607336251134331</v>
      </c>
      <c r="AJ15" s="316">
        <f t="shared" ref="AJ15" si="114">ABS(AG15-AG16)/AG16</f>
        <v>0</v>
      </c>
      <c r="AK15" s="149">
        <f t="shared" si="3"/>
        <v>1.7272853670862627</v>
      </c>
      <c r="AL15" s="152">
        <f t="shared" si="4"/>
        <v>1.7272853670862627</v>
      </c>
      <c r="AM15" s="322">
        <f t="shared" ref="AM15" si="115">AK15-AK16</f>
        <v>0.22015203375292924</v>
      </c>
      <c r="AN15" s="305">
        <f t="shared" ref="AN15" si="116">ABS(AK15-AK16)/AK16</f>
        <v>0.14607336251134331</v>
      </c>
      <c r="AO15" s="320">
        <f t="shared" ref="AO15" si="117">AL15-AL16</f>
        <v>0.22015203375292924</v>
      </c>
      <c r="AP15" s="303">
        <f t="shared" ref="AP15" si="118">ABS(AL15-AL16)/AL16</f>
        <v>0.14607336251134331</v>
      </c>
    </row>
    <row r="16" spans="2:42" ht="15.75" thickBot="1" x14ac:dyDescent="0.3">
      <c r="B16" s="150">
        <v>17.39</v>
      </c>
      <c r="C16" s="59" t="s">
        <v>34</v>
      </c>
      <c r="D16" s="68" t="s">
        <v>154</v>
      </c>
      <c r="E16" s="59">
        <v>0.78</v>
      </c>
      <c r="F16" s="59">
        <f t="shared" si="24"/>
        <v>13.564200000000001</v>
      </c>
      <c r="G16" s="52">
        <f t="shared" si="0"/>
        <v>13.564200000000001</v>
      </c>
      <c r="H16" s="59" t="s">
        <v>158</v>
      </c>
      <c r="I16" s="55">
        <v>9</v>
      </c>
      <c r="J16" s="55">
        <v>4</v>
      </c>
      <c r="K16" s="59">
        <v>100</v>
      </c>
      <c r="L16" s="59">
        <v>10</v>
      </c>
      <c r="M16" s="55">
        <v>8</v>
      </c>
      <c r="N16" s="70">
        <f t="shared" si="25"/>
        <v>4.5</v>
      </c>
      <c r="O16" s="71">
        <v>0.2</v>
      </c>
      <c r="P16" s="59">
        <f t="shared" si="26"/>
        <v>0.9</v>
      </c>
      <c r="Q16" s="59">
        <f t="shared" si="27"/>
        <v>9</v>
      </c>
      <c r="R16" s="59">
        <f t="shared" si="28"/>
        <v>1.5071333333333334</v>
      </c>
      <c r="S16" s="71">
        <v>0.4</v>
      </c>
      <c r="T16" s="59">
        <f t="shared" si="29"/>
        <v>1.8</v>
      </c>
      <c r="U16" s="59">
        <f t="shared" si="30"/>
        <v>18</v>
      </c>
      <c r="V16" s="59">
        <f t="shared" si="31"/>
        <v>0.75356666666666672</v>
      </c>
      <c r="W16" s="59">
        <v>1</v>
      </c>
      <c r="X16" s="59">
        <v>1</v>
      </c>
      <c r="Y16" s="59">
        <f t="shared" si="32"/>
        <v>10000</v>
      </c>
      <c r="Z16" s="59">
        <v>10</v>
      </c>
      <c r="AA16" s="59">
        <f t="shared" si="33"/>
        <v>10</v>
      </c>
      <c r="AB16" s="71">
        <v>0.9</v>
      </c>
      <c r="AC16" s="59">
        <f t="shared" si="34"/>
        <v>1.5071333333333334</v>
      </c>
      <c r="AD16" s="59">
        <v>80</v>
      </c>
      <c r="AE16" s="153">
        <f t="shared" si="35"/>
        <v>100</v>
      </c>
      <c r="AF16" s="150">
        <f t="shared" si="1"/>
        <v>0.75356666666666672</v>
      </c>
      <c r="AG16" s="153">
        <f t="shared" si="2"/>
        <v>100</v>
      </c>
      <c r="AH16" s="315"/>
      <c r="AI16" s="319"/>
      <c r="AJ16" s="317"/>
      <c r="AK16" s="150">
        <f t="shared" si="3"/>
        <v>1.5071333333333334</v>
      </c>
      <c r="AL16" s="153">
        <f t="shared" si="4"/>
        <v>1.5071333333333334</v>
      </c>
      <c r="AM16" s="323"/>
      <c r="AN16" s="306"/>
      <c r="AO16" s="321"/>
      <c r="AP16" s="304"/>
    </row>
    <row r="17" spans="2:42" ht="15.75" thickBot="1" x14ac:dyDescent="0.3">
      <c r="B17" s="149">
        <v>19.732536364573527</v>
      </c>
      <c r="C17" s="52" t="s">
        <v>34</v>
      </c>
      <c r="D17" s="69" t="s">
        <v>155</v>
      </c>
      <c r="E17" s="52">
        <v>0.76</v>
      </c>
      <c r="F17" s="52">
        <f t="shared" ref="F17" si="119">B17*E17</f>
        <v>14.99672763707588</v>
      </c>
      <c r="G17" s="52">
        <f t="shared" si="0"/>
        <v>14.99672763707588</v>
      </c>
      <c r="H17" s="52" t="s">
        <v>159</v>
      </c>
      <c r="I17" s="48">
        <v>14</v>
      </c>
      <c r="J17" s="48">
        <v>6</v>
      </c>
      <c r="K17" s="52">
        <v>80</v>
      </c>
      <c r="L17" s="52">
        <v>8</v>
      </c>
      <c r="M17" s="48">
        <v>12</v>
      </c>
      <c r="N17" s="64">
        <f t="shared" ref="N17" si="120">((I17-J17)/100)*K17*(1-(L17/100))</f>
        <v>5.8880000000000008</v>
      </c>
      <c r="O17" s="65">
        <v>0.2</v>
      </c>
      <c r="P17" s="52">
        <f t="shared" ref="P17" si="121">N17*O17</f>
        <v>1.1776000000000002</v>
      </c>
      <c r="Q17" s="52">
        <f t="shared" ref="Q17" si="122">P17*10</f>
        <v>11.776000000000002</v>
      </c>
      <c r="R17" s="52">
        <f t="shared" ref="R17" si="123">G17/Q17</f>
        <v>1.2734992898332098</v>
      </c>
      <c r="S17" s="65">
        <v>0.4</v>
      </c>
      <c r="T17" s="52">
        <f t="shared" ref="T17" si="124">N17*S17</f>
        <v>2.3552000000000004</v>
      </c>
      <c r="U17" s="52">
        <f t="shared" ref="U17" si="125">T17*10</f>
        <v>23.552000000000003</v>
      </c>
      <c r="V17" s="52">
        <f t="shared" ref="V17" si="126">G17/U17</f>
        <v>0.63674964491660491</v>
      </c>
      <c r="W17" s="52">
        <v>4</v>
      </c>
      <c r="X17" s="52">
        <v>3</v>
      </c>
      <c r="Y17" s="52">
        <f t="shared" ref="Y17" si="127">10000/(W17*X17)</f>
        <v>833.33333333333337</v>
      </c>
      <c r="Z17" s="52">
        <v>8</v>
      </c>
      <c r="AA17" s="52">
        <f t="shared" ref="AA17" si="128">Y17*Z17/10000</f>
        <v>0.66666666666666674</v>
      </c>
      <c r="AB17" s="65">
        <v>0.9</v>
      </c>
      <c r="AC17" s="52">
        <f t="shared" ref="AC17" si="129">G17/(AA17*AB17)</f>
        <v>24.99454606179313</v>
      </c>
      <c r="AD17" s="52">
        <v>70</v>
      </c>
      <c r="AE17" s="152">
        <f t="shared" ref="AE17" si="130">5*AD17/4</f>
        <v>87.5</v>
      </c>
      <c r="AF17" s="149">
        <f t="shared" si="1"/>
        <v>0.63674964491660491</v>
      </c>
      <c r="AG17" s="152">
        <f t="shared" si="2"/>
        <v>87.5</v>
      </c>
      <c r="AH17" s="314">
        <f t="shared" ref="AH17" si="131">AF17-AF18</f>
        <v>9.1403177525300694E-2</v>
      </c>
      <c r="AI17" s="318">
        <f t="shared" ref="AI17" si="132">ABS(AF17-AF18)/AF18</f>
        <v>0.16760570204577099</v>
      </c>
      <c r="AJ17" s="316">
        <f t="shared" ref="AJ17" si="133">ABS(AG17-AG18)/AG18</f>
        <v>0</v>
      </c>
      <c r="AK17" s="149">
        <f t="shared" si="3"/>
        <v>1.2734992898332098</v>
      </c>
      <c r="AL17" s="152">
        <f t="shared" si="4"/>
        <v>24.99454606179313</v>
      </c>
      <c r="AM17" s="322">
        <f t="shared" ref="AM17" si="134">AK17-AK18</f>
        <v>0.18280635505060139</v>
      </c>
      <c r="AN17" s="305">
        <f t="shared" ref="AN17" si="135">ABS(AK17-AK18)/AK18</f>
        <v>0.16760570204577099</v>
      </c>
      <c r="AO17" s="320">
        <f t="shared" ref="AO17" si="136">AL17-AL18</f>
        <v>3.5878793951264676</v>
      </c>
      <c r="AP17" s="303">
        <f t="shared" ref="AP17" si="137">ABS(AL17-AL18)/AL18</f>
        <v>0.16760570204577085</v>
      </c>
    </row>
    <row r="18" spans="2:42" ht="15.75" thickBot="1" x14ac:dyDescent="0.3">
      <c r="B18" s="150">
        <v>16.899999999999999</v>
      </c>
      <c r="C18" s="59" t="s">
        <v>34</v>
      </c>
      <c r="D18" s="68" t="s">
        <v>155</v>
      </c>
      <c r="E18" s="59">
        <v>0.76</v>
      </c>
      <c r="F18" s="59">
        <f t="shared" si="24"/>
        <v>12.843999999999999</v>
      </c>
      <c r="G18" s="52">
        <f t="shared" si="0"/>
        <v>12.843999999999999</v>
      </c>
      <c r="H18" s="59" t="s">
        <v>159</v>
      </c>
      <c r="I18" s="55">
        <v>14</v>
      </c>
      <c r="J18" s="55">
        <v>6</v>
      </c>
      <c r="K18" s="59">
        <v>80</v>
      </c>
      <c r="L18" s="59">
        <v>8</v>
      </c>
      <c r="M18" s="55">
        <v>12</v>
      </c>
      <c r="N18" s="70">
        <f t="shared" si="25"/>
        <v>5.8880000000000008</v>
      </c>
      <c r="O18" s="71">
        <v>0.2</v>
      </c>
      <c r="P18" s="59">
        <f t="shared" si="26"/>
        <v>1.1776000000000002</v>
      </c>
      <c r="Q18" s="59">
        <f t="shared" si="27"/>
        <v>11.776000000000002</v>
      </c>
      <c r="R18" s="59">
        <f t="shared" si="28"/>
        <v>1.0906929347826084</v>
      </c>
      <c r="S18" s="71">
        <v>0.4</v>
      </c>
      <c r="T18" s="59">
        <f t="shared" si="29"/>
        <v>2.3552000000000004</v>
      </c>
      <c r="U18" s="59">
        <f t="shared" si="30"/>
        <v>23.552000000000003</v>
      </c>
      <c r="V18" s="59">
        <f t="shared" si="31"/>
        <v>0.54534646739130421</v>
      </c>
      <c r="W18" s="59">
        <v>4</v>
      </c>
      <c r="X18" s="59">
        <v>3</v>
      </c>
      <c r="Y18" s="59">
        <f t="shared" si="32"/>
        <v>833.33333333333337</v>
      </c>
      <c r="Z18" s="59">
        <v>8</v>
      </c>
      <c r="AA18" s="59">
        <f t="shared" si="33"/>
        <v>0.66666666666666674</v>
      </c>
      <c r="AB18" s="71">
        <v>0.9</v>
      </c>
      <c r="AC18" s="59">
        <f t="shared" si="34"/>
        <v>21.406666666666663</v>
      </c>
      <c r="AD18" s="59">
        <v>70</v>
      </c>
      <c r="AE18" s="153">
        <f t="shared" si="35"/>
        <v>87.5</v>
      </c>
      <c r="AF18" s="150">
        <f t="shared" si="1"/>
        <v>0.54534646739130421</v>
      </c>
      <c r="AG18" s="153">
        <f t="shared" si="2"/>
        <v>87.5</v>
      </c>
      <c r="AH18" s="315"/>
      <c r="AI18" s="319"/>
      <c r="AJ18" s="317"/>
      <c r="AK18" s="150">
        <f t="shared" si="3"/>
        <v>1.0906929347826084</v>
      </c>
      <c r="AL18" s="153">
        <f t="shared" si="4"/>
        <v>21.406666666666663</v>
      </c>
      <c r="AM18" s="323"/>
      <c r="AN18" s="306"/>
      <c r="AO18" s="321"/>
      <c r="AP18" s="304"/>
    </row>
    <row r="19" spans="2:42" ht="15.75" thickBot="1" x14ac:dyDescent="0.3">
      <c r="B19" s="149">
        <v>27.02587895264994</v>
      </c>
      <c r="C19" s="52" t="s">
        <v>34</v>
      </c>
      <c r="D19" s="69" t="s">
        <v>156</v>
      </c>
      <c r="E19" s="52">
        <v>0.77</v>
      </c>
      <c r="F19" s="52">
        <f t="shared" ref="F19" si="138">B19*E19</f>
        <v>20.809926793540455</v>
      </c>
      <c r="G19" s="52">
        <f t="shared" si="0"/>
        <v>20.809926793540455</v>
      </c>
      <c r="H19" s="52" t="s">
        <v>160</v>
      </c>
      <c r="I19" s="48">
        <v>22</v>
      </c>
      <c r="J19" s="48">
        <v>10</v>
      </c>
      <c r="K19" s="52">
        <v>60</v>
      </c>
      <c r="L19" s="52">
        <v>6</v>
      </c>
      <c r="M19" s="48">
        <v>17</v>
      </c>
      <c r="N19" s="64">
        <f t="shared" ref="N19" si="139">((I19-J19)/100)*K19*(1-(L19/100))</f>
        <v>6.7679999999999989</v>
      </c>
      <c r="O19" s="65">
        <v>0.2</v>
      </c>
      <c r="P19" s="52">
        <f t="shared" ref="P19" si="140">N19*O19</f>
        <v>1.3535999999999999</v>
      </c>
      <c r="Q19" s="52">
        <f t="shared" ref="Q19" si="141">P19*10</f>
        <v>13.536</v>
      </c>
      <c r="R19" s="52">
        <f t="shared" ref="R19" si="142">G19/Q19</f>
        <v>1.5373763884116767</v>
      </c>
      <c r="S19" s="65">
        <v>0.4</v>
      </c>
      <c r="T19" s="52">
        <f t="shared" ref="T19" si="143">N19*S19</f>
        <v>2.7071999999999998</v>
      </c>
      <c r="U19" s="52">
        <f t="shared" ref="U19" si="144">T19*10</f>
        <v>27.071999999999999</v>
      </c>
      <c r="V19" s="52">
        <f t="shared" ref="V19" si="145">G19/U19</f>
        <v>0.76868819420583834</v>
      </c>
      <c r="W19" s="52">
        <v>4</v>
      </c>
      <c r="X19" s="52">
        <v>2</v>
      </c>
      <c r="Y19" s="52">
        <f t="shared" ref="Y19" si="146">10000/(W19*X19)</f>
        <v>1250</v>
      </c>
      <c r="Z19" s="52">
        <v>8</v>
      </c>
      <c r="AA19" s="52">
        <f t="shared" ref="AA19" si="147">Y19*Z19/10000</f>
        <v>1</v>
      </c>
      <c r="AB19" s="65">
        <v>0.9</v>
      </c>
      <c r="AC19" s="52">
        <f t="shared" ref="AC19" si="148">G19/(AA19*AB19)</f>
        <v>23.122140881711616</v>
      </c>
      <c r="AD19" s="52">
        <v>60</v>
      </c>
      <c r="AE19" s="152">
        <f t="shared" ref="AE19" si="149">5*AD19/4</f>
        <v>75</v>
      </c>
      <c r="AF19" s="149">
        <f t="shared" si="1"/>
        <v>0.76868819420583834</v>
      </c>
      <c r="AG19" s="152">
        <f t="shared" si="2"/>
        <v>75</v>
      </c>
      <c r="AH19" s="314">
        <f t="shared" ref="AH19" si="150">AF19-AF20</f>
        <v>9.4881308863048575E-2</v>
      </c>
      <c r="AI19" s="318">
        <f t="shared" ref="AI19" si="151">ABS(AF19-AF20)/AF20</f>
        <v>0.14081380129379212</v>
      </c>
      <c r="AJ19" s="316">
        <f t="shared" ref="AJ19" si="152">ABS(AG19-AG20)/AG20</f>
        <v>0</v>
      </c>
      <c r="AK19" s="149">
        <f t="shared" si="3"/>
        <v>1.5373763884116767</v>
      </c>
      <c r="AL19" s="152">
        <f t="shared" si="4"/>
        <v>23.122140881711616</v>
      </c>
      <c r="AM19" s="322">
        <f t="shared" ref="AM19" si="153">AK19-AK20</f>
        <v>0.18976261772609715</v>
      </c>
      <c r="AN19" s="305">
        <f t="shared" ref="AN19" si="154">ABS(AK19-AK20)/AK20</f>
        <v>0.14081380129379212</v>
      </c>
      <c r="AO19" s="320">
        <f t="shared" ref="AO19" si="155">AL19-AL20</f>
        <v>2.8540297706005013</v>
      </c>
      <c r="AP19" s="303">
        <f t="shared" ref="AP19" si="156">ABS(AL19-AL20)/AL20</f>
        <v>0.14081380129379215</v>
      </c>
    </row>
    <row r="20" spans="2:42" ht="15.75" thickBot="1" x14ac:dyDescent="0.3">
      <c r="B20" s="150">
        <v>23.69</v>
      </c>
      <c r="C20" s="59" t="s">
        <v>34</v>
      </c>
      <c r="D20" s="68" t="s">
        <v>156</v>
      </c>
      <c r="E20" s="59">
        <v>0.77</v>
      </c>
      <c r="F20" s="59">
        <f t="shared" si="24"/>
        <v>18.241300000000003</v>
      </c>
      <c r="G20" s="52">
        <f t="shared" si="0"/>
        <v>18.241300000000003</v>
      </c>
      <c r="H20" s="59" t="s">
        <v>160</v>
      </c>
      <c r="I20" s="55">
        <v>22</v>
      </c>
      <c r="J20" s="55">
        <v>10</v>
      </c>
      <c r="K20" s="59">
        <v>60</v>
      </c>
      <c r="L20" s="59">
        <v>6</v>
      </c>
      <c r="M20" s="55">
        <v>17</v>
      </c>
      <c r="N20" s="70">
        <f t="shared" si="25"/>
        <v>6.7679999999999989</v>
      </c>
      <c r="O20" s="71">
        <v>0.2</v>
      </c>
      <c r="P20" s="59">
        <f t="shared" si="26"/>
        <v>1.3535999999999999</v>
      </c>
      <c r="Q20" s="59">
        <f t="shared" si="27"/>
        <v>13.536</v>
      </c>
      <c r="R20" s="59">
        <f t="shared" si="28"/>
        <v>1.3476137706855795</v>
      </c>
      <c r="S20" s="71">
        <v>0.4</v>
      </c>
      <c r="T20" s="59">
        <f t="shared" si="29"/>
        <v>2.7071999999999998</v>
      </c>
      <c r="U20" s="59">
        <f t="shared" si="30"/>
        <v>27.071999999999999</v>
      </c>
      <c r="V20" s="59">
        <f t="shared" si="31"/>
        <v>0.67380688534278976</v>
      </c>
      <c r="W20" s="59">
        <v>4</v>
      </c>
      <c r="X20" s="59">
        <v>2</v>
      </c>
      <c r="Y20" s="59">
        <f t="shared" si="32"/>
        <v>1250</v>
      </c>
      <c r="Z20" s="59">
        <v>8</v>
      </c>
      <c r="AA20" s="59">
        <f t="shared" si="33"/>
        <v>1</v>
      </c>
      <c r="AB20" s="71">
        <v>0.9</v>
      </c>
      <c r="AC20" s="59">
        <f t="shared" si="34"/>
        <v>20.268111111111114</v>
      </c>
      <c r="AD20" s="59">
        <v>60</v>
      </c>
      <c r="AE20" s="153">
        <f t="shared" si="35"/>
        <v>75</v>
      </c>
      <c r="AF20" s="150">
        <f t="shared" si="1"/>
        <v>0.67380688534278976</v>
      </c>
      <c r="AG20" s="153">
        <f t="shared" si="2"/>
        <v>75</v>
      </c>
      <c r="AH20" s="315"/>
      <c r="AI20" s="319"/>
      <c r="AJ20" s="317"/>
      <c r="AK20" s="150">
        <f t="shared" si="3"/>
        <v>1.3476137706855795</v>
      </c>
      <c r="AL20" s="153">
        <f t="shared" si="4"/>
        <v>20.268111111111114</v>
      </c>
      <c r="AM20" s="323"/>
      <c r="AN20" s="306"/>
      <c r="AO20" s="321"/>
      <c r="AP20" s="304"/>
    </row>
    <row r="21" spans="2:42" ht="15.75" thickBot="1" x14ac:dyDescent="0.3">
      <c r="B21" s="149">
        <v>20.894650354002877</v>
      </c>
      <c r="C21" s="52" t="s">
        <v>150</v>
      </c>
      <c r="D21" s="69" t="s">
        <v>157</v>
      </c>
      <c r="E21" s="52">
        <v>0.75</v>
      </c>
      <c r="F21" s="52">
        <f t="shared" ref="F21" si="157">B21*E21</f>
        <v>15.670987765502158</v>
      </c>
      <c r="G21" s="52">
        <f t="shared" si="0"/>
        <v>15.670987765502158</v>
      </c>
      <c r="H21" s="52" t="s">
        <v>161</v>
      </c>
      <c r="I21" s="48">
        <v>27</v>
      </c>
      <c r="J21" s="48">
        <v>13</v>
      </c>
      <c r="K21" s="52">
        <v>50</v>
      </c>
      <c r="L21" s="52">
        <v>4</v>
      </c>
      <c r="M21" s="48">
        <v>19</v>
      </c>
      <c r="N21" s="64">
        <f t="shared" ref="N21" si="158">((I21-J21)/100)*K21*(1-(L21/100))</f>
        <v>6.7200000000000006</v>
      </c>
      <c r="O21" s="65">
        <v>0.2</v>
      </c>
      <c r="P21" s="52">
        <f t="shared" ref="P21" si="159">N21*O21</f>
        <v>1.3440000000000003</v>
      </c>
      <c r="Q21" s="52">
        <f t="shared" ref="Q21" si="160">P21*10</f>
        <v>13.440000000000003</v>
      </c>
      <c r="R21" s="52">
        <f t="shared" ref="R21" si="161">G21/Q21</f>
        <v>1.1659961135046246</v>
      </c>
      <c r="S21" s="65">
        <v>0.4</v>
      </c>
      <c r="T21" s="52">
        <f t="shared" ref="T21" si="162">N21*S21</f>
        <v>2.6880000000000006</v>
      </c>
      <c r="U21" s="52">
        <f t="shared" ref="U21" si="163">T21*10</f>
        <v>26.880000000000006</v>
      </c>
      <c r="V21" s="52">
        <f t="shared" ref="V21" si="164">G21/U21</f>
        <v>0.58299805675231231</v>
      </c>
      <c r="W21" s="52">
        <v>4</v>
      </c>
      <c r="X21" s="52">
        <v>3</v>
      </c>
      <c r="Y21" s="52">
        <f t="shared" ref="Y21" si="165">10000/(W21*X21)</f>
        <v>833.33333333333337</v>
      </c>
      <c r="Z21" s="52">
        <v>6</v>
      </c>
      <c r="AA21" s="52">
        <f t="shared" ref="AA21" si="166">Y21*Z21/10000</f>
        <v>0.5</v>
      </c>
      <c r="AB21" s="65">
        <v>0.9</v>
      </c>
      <c r="AC21" s="52">
        <f t="shared" ref="AC21" si="167">G21/(AA21*AB21)</f>
        <v>34.82441725667146</v>
      </c>
      <c r="AD21" s="52">
        <v>50</v>
      </c>
      <c r="AE21" s="152">
        <f t="shared" ref="AE21" si="168">5*AD21/4</f>
        <v>62.5</v>
      </c>
      <c r="AF21" s="149">
        <f t="shared" si="1"/>
        <v>0.58299805675231231</v>
      </c>
      <c r="AG21" s="152">
        <f t="shared" si="2"/>
        <v>62.5</v>
      </c>
      <c r="AH21" s="314">
        <f t="shared" ref="AH21" si="169">AF21-AF22</f>
        <v>4.8730567523124213E-3</v>
      </c>
      <c r="AI21" s="318">
        <f t="shared" ref="AI21" si="170">ABS(AF21-AF22)/AF22</f>
        <v>8.4290711391350002E-3</v>
      </c>
      <c r="AJ21" s="316">
        <f t="shared" ref="AJ21" si="171">ABS(AG21-AG22)/AG22</f>
        <v>0</v>
      </c>
      <c r="AK21" s="149">
        <f t="shared" si="3"/>
        <v>1.1659961135046246</v>
      </c>
      <c r="AL21" s="152">
        <f t="shared" si="4"/>
        <v>34.82441725667146</v>
      </c>
      <c r="AM21" s="322">
        <f t="shared" ref="AM21" si="172">AK21-AK22</f>
        <v>9.7461135046248426E-3</v>
      </c>
      <c r="AN21" s="305">
        <f t="shared" ref="AN21" si="173">ABS(AK21-AK22)/AK22</f>
        <v>8.4290711391350002E-3</v>
      </c>
      <c r="AO21" s="320">
        <f t="shared" ref="AO21" si="174">AL21-AL22</f>
        <v>0.29108392333812816</v>
      </c>
      <c r="AP21" s="303">
        <f t="shared" ref="AP21" si="175">ABS(AL21-AL22)/AL22</f>
        <v>8.4290711391349863E-3</v>
      </c>
    </row>
    <row r="22" spans="2:42" ht="15.75" thickBot="1" x14ac:dyDescent="0.3">
      <c r="B22" s="151">
        <v>20.72</v>
      </c>
      <c r="C22" s="59" t="s">
        <v>150</v>
      </c>
      <c r="D22" s="68" t="s">
        <v>157</v>
      </c>
      <c r="E22" s="59">
        <v>0.75</v>
      </c>
      <c r="F22" s="59">
        <f t="shared" si="24"/>
        <v>15.54</v>
      </c>
      <c r="G22" s="52">
        <f t="shared" si="0"/>
        <v>15.54</v>
      </c>
      <c r="H22" s="59" t="s">
        <v>161</v>
      </c>
      <c r="I22" s="55">
        <v>27</v>
      </c>
      <c r="J22" s="55">
        <v>13</v>
      </c>
      <c r="K22" s="59">
        <v>50</v>
      </c>
      <c r="L22" s="59">
        <v>4</v>
      </c>
      <c r="M22" s="55">
        <v>19</v>
      </c>
      <c r="N22" s="70">
        <f t="shared" si="25"/>
        <v>6.7200000000000006</v>
      </c>
      <c r="O22" s="71">
        <v>0.2</v>
      </c>
      <c r="P22" s="59">
        <f t="shared" si="26"/>
        <v>1.3440000000000003</v>
      </c>
      <c r="Q22" s="59">
        <f t="shared" si="27"/>
        <v>13.440000000000003</v>
      </c>
      <c r="R22" s="59">
        <f t="shared" si="28"/>
        <v>1.1562499999999998</v>
      </c>
      <c r="S22" s="71">
        <v>0.4</v>
      </c>
      <c r="T22" s="59">
        <f t="shared" si="29"/>
        <v>2.6880000000000006</v>
      </c>
      <c r="U22" s="59">
        <f t="shared" si="30"/>
        <v>26.880000000000006</v>
      </c>
      <c r="V22" s="59">
        <f t="shared" si="31"/>
        <v>0.57812499999999989</v>
      </c>
      <c r="W22" s="59">
        <v>4</v>
      </c>
      <c r="X22" s="59">
        <v>3</v>
      </c>
      <c r="Y22" s="59">
        <f t="shared" si="32"/>
        <v>833.33333333333337</v>
      </c>
      <c r="Z22" s="59">
        <v>6</v>
      </c>
      <c r="AA22" s="59">
        <f t="shared" si="33"/>
        <v>0.5</v>
      </c>
      <c r="AB22" s="71">
        <v>0.9</v>
      </c>
      <c r="AC22" s="59">
        <f t="shared" si="34"/>
        <v>34.533333333333331</v>
      </c>
      <c r="AD22" s="59">
        <v>50</v>
      </c>
      <c r="AE22" s="153">
        <f t="shared" si="35"/>
        <v>62.5</v>
      </c>
      <c r="AF22" s="150">
        <f t="shared" si="1"/>
        <v>0.57812499999999989</v>
      </c>
      <c r="AG22" s="153">
        <f t="shared" si="2"/>
        <v>62.5</v>
      </c>
      <c r="AH22" s="315"/>
      <c r="AI22" s="319"/>
      <c r="AJ22" s="317"/>
      <c r="AK22" s="150">
        <f t="shared" si="3"/>
        <v>1.1562499999999998</v>
      </c>
      <c r="AL22" s="153">
        <f t="shared" si="4"/>
        <v>34.533333333333331</v>
      </c>
      <c r="AM22" s="323"/>
      <c r="AN22" s="306"/>
      <c r="AO22" s="321"/>
      <c r="AP22" s="304"/>
    </row>
    <row r="23" spans="2:42" ht="15.75" thickBot="1" x14ac:dyDescent="0.3">
      <c r="B23" s="149">
        <v>19.930215774072259</v>
      </c>
      <c r="C23" s="52" t="s">
        <v>150</v>
      </c>
      <c r="D23" s="69" t="s">
        <v>153</v>
      </c>
      <c r="E23" s="52">
        <v>0.45</v>
      </c>
      <c r="F23" s="52">
        <f t="shared" ref="F23" si="176">B23*E23</f>
        <v>8.9685970983325163</v>
      </c>
      <c r="G23" s="52">
        <f t="shared" si="0"/>
        <v>8.9685970983325163</v>
      </c>
      <c r="H23" s="52" t="s">
        <v>162</v>
      </c>
      <c r="I23" s="48">
        <v>31</v>
      </c>
      <c r="J23" s="48">
        <v>15</v>
      </c>
      <c r="K23" s="52">
        <v>40</v>
      </c>
      <c r="L23" s="52">
        <v>2</v>
      </c>
      <c r="M23" s="48">
        <v>21</v>
      </c>
      <c r="N23" s="64">
        <f t="shared" ref="N23" si="177">((I23-J23)/100)*K23*(1-(L23/100))</f>
        <v>6.2720000000000002</v>
      </c>
      <c r="O23" s="65">
        <v>0.2</v>
      </c>
      <c r="P23" s="52">
        <f t="shared" ref="P23" si="178">N23*O23</f>
        <v>1.2544000000000002</v>
      </c>
      <c r="Q23" s="52">
        <f t="shared" ref="Q23" si="179">P23*10</f>
        <v>12.544000000000002</v>
      </c>
      <c r="R23" s="52">
        <f t="shared" ref="R23" si="180">G23/Q23</f>
        <v>0.71497106970125279</v>
      </c>
      <c r="S23" s="65">
        <v>0.4</v>
      </c>
      <c r="T23" s="52">
        <f t="shared" ref="T23" si="181">N23*S23</f>
        <v>2.5088000000000004</v>
      </c>
      <c r="U23" s="52">
        <f t="shared" ref="U23" si="182">T23*10</f>
        <v>25.088000000000005</v>
      </c>
      <c r="V23" s="52">
        <f t="shared" ref="V23" si="183">G23/U23</f>
        <v>0.3574855348506264</v>
      </c>
      <c r="W23" s="52">
        <v>3</v>
      </c>
      <c r="X23" s="52">
        <v>1</v>
      </c>
      <c r="Y23" s="52">
        <f t="shared" ref="Y23" si="184">10000/(W23*X23)</f>
        <v>3333.3333333333335</v>
      </c>
      <c r="Z23" s="52">
        <v>5</v>
      </c>
      <c r="AA23" s="52">
        <f t="shared" ref="AA23" si="185">Y23*Z23/10000</f>
        <v>1.6666666666666667</v>
      </c>
      <c r="AB23" s="65">
        <v>0.9</v>
      </c>
      <c r="AC23" s="52">
        <f t="shared" ref="AC23" si="186">G23/(AA23*AB23)</f>
        <v>5.9790647322216772</v>
      </c>
      <c r="AD23" s="52">
        <v>40</v>
      </c>
      <c r="AE23" s="152">
        <f t="shared" ref="AE23" si="187">5*AD23/4</f>
        <v>50</v>
      </c>
      <c r="AF23" s="149">
        <f t="shared" si="1"/>
        <v>0.3574855348506264</v>
      </c>
      <c r="AG23" s="152">
        <f t="shared" si="2"/>
        <v>50</v>
      </c>
      <c r="AH23" s="314">
        <f t="shared" ref="AH23" si="188">AF23-AF24</f>
        <v>4.5563500411850921E-2</v>
      </c>
      <c r="AI23" s="318">
        <f t="shared" ref="AI23" si="189">ABS(AF23-AF24)/AF24</f>
        <v>0.14607336251134317</v>
      </c>
      <c r="AJ23" s="316">
        <f t="shared" ref="AJ23" si="190">ABS(AG23-AG24)/AG24</f>
        <v>0</v>
      </c>
      <c r="AK23" s="149">
        <f t="shared" si="3"/>
        <v>0.71497106970125279</v>
      </c>
      <c r="AL23" s="152">
        <f t="shared" si="4"/>
        <v>5.9790647322216772</v>
      </c>
      <c r="AM23" s="322">
        <f t="shared" ref="AM23" si="191">AK23-AK24</f>
        <v>9.1127000823701843E-2</v>
      </c>
      <c r="AN23" s="305">
        <f t="shared" ref="AN23" si="192">ABS(AK23-AK24)/AK24</f>
        <v>0.14607336251134317</v>
      </c>
      <c r="AO23" s="320">
        <f t="shared" ref="AO23" si="193">AL23-AL24</f>
        <v>0.7620647322216767</v>
      </c>
      <c r="AP23" s="303">
        <f t="shared" ref="AP23" si="194">ABS(AL23-AL24)/AL24</f>
        <v>0.14607336251134304</v>
      </c>
    </row>
    <row r="24" spans="2:42" ht="15.75" thickBot="1" x14ac:dyDescent="0.3">
      <c r="B24" s="150">
        <v>17.39</v>
      </c>
      <c r="C24" s="59" t="s">
        <v>150</v>
      </c>
      <c r="D24" s="68" t="s">
        <v>153</v>
      </c>
      <c r="E24" s="59">
        <v>0.45</v>
      </c>
      <c r="F24" s="59">
        <f t="shared" si="24"/>
        <v>7.8255000000000008</v>
      </c>
      <c r="G24" s="52">
        <f t="shared" si="0"/>
        <v>7.8255000000000008</v>
      </c>
      <c r="H24" s="59" t="s">
        <v>162</v>
      </c>
      <c r="I24" s="55">
        <v>31</v>
      </c>
      <c r="J24" s="55">
        <v>15</v>
      </c>
      <c r="K24" s="59">
        <v>40</v>
      </c>
      <c r="L24" s="59">
        <v>2</v>
      </c>
      <c r="M24" s="55">
        <v>21</v>
      </c>
      <c r="N24" s="70">
        <f t="shared" si="25"/>
        <v>6.2720000000000002</v>
      </c>
      <c r="O24" s="71">
        <v>0.2</v>
      </c>
      <c r="P24" s="59">
        <f t="shared" si="26"/>
        <v>1.2544000000000002</v>
      </c>
      <c r="Q24" s="59">
        <f t="shared" si="27"/>
        <v>12.544000000000002</v>
      </c>
      <c r="R24" s="59">
        <f t="shared" si="28"/>
        <v>0.62384406887755095</v>
      </c>
      <c r="S24" s="71">
        <v>0.4</v>
      </c>
      <c r="T24" s="59">
        <f t="shared" si="29"/>
        <v>2.5088000000000004</v>
      </c>
      <c r="U24" s="59">
        <f t="shared" si="30"/>
        <v>25.088000000000005</v>
      </c>
      <c r="V24" s="59">
        <f t="shared" si="31"/>
        <v>0.31192203443877548</v>
      </c>
      <c r="W24" s="59">
        <v>3</v>
      </c>
      <c r="X24" s="59">
        <v>1</v>
      </c>
      <c r="Y24" s="59">
        <f t="shared" si="32"/>
        <v>3333.3333333333335</v>
      </c>
      <c r="Z24" s="59">
        <v>5</v>
      </c>
      <c r="AA24" s="59">
        <f t="shared" si="33"/>
        <v>1.6666666666666667</v>
      </c>
      <c r="AB24" s="71">
        <v>0.9</v>
      </c>
      <c r="AC24" s="59">
        <f t="shared" si="34"/>
        <v>5.2170000000000005</v>
      </c>
      <c r="AD24" s="59">
        <v>40</v>
      </c>
      <c r="AE24" s="153">
        <f t="shared" si="35"/>
        <v>50</v>
      </c>
      <c r="AF24" s="150">
        <f t="shared" si="1"/>
        <v>0.31192203443877548</v>
      </c>
      <c r="AG24" s="153">
        <f t="shared" si="2"/>
        <v>50</v>
      </c>
      <c r="AH24" s="315"/>
      <c r="AI24" s="319"/>
      <c r="AJ24" s="317"/>
      <c r="AK24" s="150">
        <f t="shared" si="3"/>
        <v>0.62384406887755095</v>
      </c>
      <c r="AL24" s="153">
        <f t="shared" si="4"/>
        <v>5.2170000000000005</v>
      </c>
      <c r="AM24" s="323"/>
      <c r="AN24" s="306"/>
      <c r="AO24" s="321"/>
      <c r="AP24" s="304"/>
    </row>
    <row r="25" spans="2:42" ht="15.75" thickBot="1" x14ac:dyDescent="0.3">
      <c r="B25" s="149">
        <v>19.732536364573527</v>
      </c>
      <c r="C25" s="52" t="s">
        <v>150</v>
      </c>
      <c r="D25" s="69" t="s">
        <v>154</v>
      </c>
      <c r="E25" s="52">
        <v>0.75</v>
      </c>
      <c r="F25" s="52">
        <f t="shared" ref="F25" si="195">B25*E25</f>
        <v>14.799402273430145</v>
      </c>
      <c r="G25" s="52">
        <f t="shared" si="0"/>
        <v>14.799402273430145</v>
      </c>
      <c r="H25" s="52" t="s">
        <v>163</v>
      </c>
      <c r="I25" s="48">
        <v>35</v>
      </c>
      <c r="J25" s="48">
        <v>17</v>
      </c>
      <c r="K25" s="52">
        <v>30</v>
      </c>
      <c r="L25" s="52">
        <v>0</v>
      </c>
      <c r="M25" s="48">
        <v>23</v>
      </c>
      <c r="N25" s="64">
        <f t="shared" ref="N25" si="196">((I25-J25)/100)*K25*(1-(L25/100))</f>
        <v>5.3999999999999995</v>
      </c>
      <c r="O25" s="65">
        <v>0.2</v>
      </c>
      <c r="P25" s="52">
        <f t="shared" ref="P25" si="197">N25*O25</f>
        <v>1.0799999999999998</v>
      </c>
      <c r="Q25" s="52">
        <f t="shared" ref="Q25" si="198">P25*10</f>
        <v>10.799999999999999</v>
      </c>
      <c r="R25" s="52">
        <f t="shared" ref="R25" si="199">G25/Q25</f>
        <v>1.3703150253176062</v>
      </c>
      <c r="S25" s="65">
        <v>0.4</v>
      </c>
      <c r="T25" s="52">
        <f t="shared" ref="T25" si="200">N25*S25</f>
        <v>2.1599999999999997</v>
      </c>
      <c r="U25" s="52">
        <f t="shared" ref="U25" si="201">T25*10</f>
        <v>21.599999999999998</v>
      </c>
      <c r="V25" s="52">
        <f t="shared" ref="V25" si="202">G25/U25</f>
        <v>0.68515751265880309</v>
      </c>
      <c r="W25" s="52">
        <v>3</v>
      </c>
      <c r="X25" s="52">
        <v>1</v>
      </c>
      <c r="Y25" s="52">
        <f t="shared" ref="Y25" si="203">10000/(W25*X25)</f>
        <v>3333.3333333333335</v>
      </c>
      <c r="Z25" s="52">
        <v>7</v>
      </c>
      <c r="AA25" s="52">
        <f t="shared" ref="AA25" si="204">Y25*Z25/10000</f>
        <v>2.3333333333333335</v>
      </c>
      <c r="AB25" s="65">
        <v>0.9</v>
      </c>
      <c r="AC25" s="52">
        <f t="shared" ref="AC25" si="205">G25/(AA25*AB25)</f>
        <v>7.0473344159191162</v>
      </c>
      <c r="AD25" s="52">
        <v>30</v>
      </c>
      <c r="AE25" s="152">
        <f t="shared" ref="AE25" si="206">5*AD25/4</f>
        <v>37.5</v>
      </c>
      <c r="AF25" s="149">
        <f t="shared" si="1"/>
        <v>0.68515751265880309</v>
      </c>
      <c r="AG25" s="152">
        <f t="shared" si="2"/>
        <v>37.5</v>
      </c>
      <c r="AH25" s="314">
        <f t="shared" ref="AH25" si="207">AF25-AF26</f>
        <v>9.8351957103247512E-2</v>
      </c>
      <c r="AI25" s="318">
        <f t="shared" ref="AI25" si="208">ABS(AF25-AF26)/AF26</f>
        <v>0.16760570204577091</v>
      </c>
      <c r="AJ25" s="316">
        <f t="shared" ref="AJ25" si="209">ABS(AG25-AG26)/AG26</f>
        <v>0</v>
      </c>
      <c r="AK25" s="149">
        <f t="shared" si="3"/>
        <v>1.3703150253176062</v>
      </c>
      <c r="AL25" s="152">
        <f t="shared" si="4"/>
        <v>7.0473344159191162</v>
      </c>
      <c r="AM25" s="322">
        <f t="shared" ref="AM25" si="210">AK25-AK26</f>
        <v>0.19670391420649502</v>
      </c>
      <c r="AN25" s="305">
        <f t="shared" ref="AN25" si="211">ABS(AK25-AK26)/AK26</f>
        <v>0.16760570204577091</v>
      </c>
      <c r="AO25" s="320">
        <f t="shared" ref="AO25" si="212">AL25-AL26</f>
        <v>1.0116201302048315</v>
      </c>
      <c r="AP25" s="303">
        <f t="shared" ref="AP25" si="213">ABS(AL25-AL26)/AL26</f>
        <v>0.16760570204577094</v>
      </c>
    </row>
    <row r="26" spans="2:42" ht="15.75" thickBot="1" x14ac:dyDescent="0.3">
      <c r="B26" s="150">
        <v>16.899999999999999</v>
      </c>
      <c r="C26" s="59" t="s">
        <v>150</v>
      </c>
      <c r="D26" s="68" t="s">
        <v>154</v>
      </c>
      <c r="E26" s="59">
        <v>0.75</v>
      </c>
      <c r="F26" s="59">
        <f t="shared" si="24"/>
        <v>12.674999999999999</v>
      </c>
      <c r="G26" s="52">
        <f t="shared" si="0"/>
        <v>12.674999999999999</v>
      </c>
      <c r="H26" s="59" t="s">
        <v>163</v>
      </c>
      <c r="I26" s="55">
        <v>35</v>
      </c>
      <c r="J26" s="55">
        <v>17</v>
      </c>
      <c r="K26" s="59">
        <v>30</v>
      </c>
      <c r="L26" s="59">
        <v>0</v>
      </c>
      <c r="M26" s="55">
        <v>23</v>
      </c>
      <c r="N26" s="70">
        <f t="shared" si="25"/>
        <v>5.3999999999999995</v>
      </c>
      <c r="O26" s="71">
        <v>0.2</v>
      </c>
      <c r="P26" s="59">
        <f t="shared" si="26"/>
        <v>1.0799999999999998</v>
      </c>
      <c r="Q26" s="59">
        <f t="shared" si="27"/>
        <v>10.799999999999999</v>
      </c>
      <c r="R26" s="59">
        <f t="shared" si="28"/>
        <v>1.1736111111111112</v>
      </c>
      <c r="S26" s="71">
        <v>0.4</v>
      </c>
      <c r="T26" s="59">
        <f t="shared" si="29"/>
        <v>2.1599999999999997</v>
      </c>
      <c r="U26" s="59">
        <f t="shared" si="30"/>
        <v>21.599999999999998</v>
      </c>
      <c r="V26" s="59">
        <f t="shared" si="31"/>
        <v>0.58680555555555558</v>
      </c>
      <c r="W26" s="59">
        <v>3</v>
      </c>
      <c r="X26" s="59">
        <v>1</v>
      </c>
      <c r="Y26" s="59">
        <f t="shared" si="32"/>
        <v>3333.3333333333335</v>
      </c>
      <c r="Z26" s="59">
        <v>7</v>
      </c>
      <c r="AA26" s="59">
        <f t="shared" si="33"/>
        <v>2.3333333333333335</v>
      </c>
      <c r="AB26" s="71">
        <v>0.9</v>
      </c>
      <c r="AC26" s="59">
        <f t="shared" si="34"/>
        <v>6.0357142857142847</v>
      </c>
      <c r="AD26" s="59">
        <v>30</v>
      </c>
      <c r="AE26" s="153">
        <f t="shared" si="35"/>
        <v>37.5</v>
      </c>
      <c r="AF26" s="150">
        <f t="shared" si="1"/>
        <v>0.58680555555555558</v>
      </c>
      <c r="AG26" s="153">
        <f t="shared" si="2"/>
        <v>37.5</v>
      </c>
      <c r="AH26" s="315"/>
      <c r="AI26" s="319"/>
      <c r="AJ26" s="317"/>
      <c r="AK26" s="150">
        <f t="shared" si="3"/>
        <v>1.1736111111111112</v>
      </c>
      <c r="AL26" s="153">
        <f t="shared" si="4"/>
        <v>6.0357142857142847</v>
      </c>
      <c r="AM26" s="323"/>
      <c r="AN26" s="306"/>
      <c r="AO26" s="321"/>
      <c r="AP26" s="304"/>
    </row>
    <row r="31" spans="2:42" x14ac:dyDescent="0.25">
      <c r="C31">
        <v>27.02587895264994</v>
      </c>
      <c r="D31">
        <v>23.69</v>
      </c>
    </row>
    <row r="32" spans="2:42" x14ac:dyDescent="0.25">
      <c r="C32">
        <v>20.894650354002877</v>
      </c>
      <c r="D32">
        <v>20.72</v>
      </c>
    </row>
    <row r="33" spans="3:4" x14ac:dyDescent="0.25">
      <c r="C33">
        <v>19.930215774072259</v>
      </c>
      <c r="D33">
        <v>17.39</v>
      </c>
    </row>
    <row r="34" spans="3:4" x14ac:dyDescent="0.25">
      <c r="C34">
        <v>19.732536364573527</v>
      </c>
      <c r="D34">
        <v>16.899999999999999</v>
      </c>
    </row>
  </sheetData>
  <mergeCells count="106">
    <mergeCell ref="AM25:AM26"/>
    <mergeCell ref="AO5:AO6"/>
    <mergeCell ref="AO7:AO8"/>
    <mergeCell ref="AO9:AO10"/>
    <mergeCell ref="AO11:AO12"/>
    <mergeCell ref="AO13:AO14"/>
    <mergeCell ref="AO15:AO16"/>
    <mergeCell ref="AO17:AO18"/>
    <mergeCell ref="AO19:AO20"/>
    <mergeCell ref="AO21:AO22"/>
    <mergeCell ref="AM13:AM14"/>
    <mergeCell ref="AM15:AM16"/>
    <mergeCell ref="AM17:AM18"/>
    <mergeCell ref="AM19:AM20"/>
    <mergeCell ref="AM21:AM22"/>
    <mergeCell ref="AM23:AM24"/>
    <mergeCell ref="AM3:AM4"/>
    <mergeCell ref="AO3:AO4"/>
    <mergeCell ref="AM5:AM6"/>
    <mergeCell ref="AM7:AM8"/>
    <mergeCell ref="AM9:AM10"/>
    <mergeCell ref="AM11:AM12"/>
    <mergeCell ref="AH21:AH22"/>
    <mergeCell ref="AJ21:AJ22"/>
    <mergeCell ref="AH23:AH24"/>
    <mergeCell ref="AJ23:AJ24"/>
    <mergeCell ref="AH9:AH10"/>
    <mergeCell ref="AJ9:AJ10"/>
    <mergeCell ref="AH11:AH12"/>
    <mergeCell ref="AJ11:AJ12"/>
    <mergeCell ref="AH13:AH14"/>
    <mergeCell ref="AJ13:AJ14"/>
    <mergeCell ref="AI9:AI10"/>
    <mergeCell ref="AI11:AI12"/>
    <mergeCell ref="AI13:AI14"/>
    <mergeCell ref="AN21:AN22"/>
    <mergeCell ref="AI7:AI8"/>
    <mergeCell ref="AH25:AH26"/>
    <mergeCell ref="AJ25:AJ26"/>
    <mergeCell ref="AI21:AI22"/>
    <mergeCell ref="AI23:AI24"/>
    <mergeCell ref="AI25:AI26"/>
    <mergeCell ref="AH15:AH16"/>
    <mergeCell ref="AJ15:AJ16"/>
    <mergeCell ref="AH17:AH18"/>
    <mergeCell ref="AJ17:AJ18"/>
    <mergeCell ref="AH19:AH20"/>
    <mergeCell ref="AJ19:AJ20"/>
    <mergeCell ref="AI15:AI16"/>
    <mergeCell ref="AI17:AI18"/>
    <mergeCell ref="AI19:AI20"/>
    <mergeCell ref="AP21:AP22"/>
    <mergeCell ref="AN23:AN24"/>
    <mergeCell ref="AP23:AP24"/>
    <mergeCell ref="AN25:AN26"/>
    <mergeCell ref="AP25:AP26"/>
    <mergeCell ref="AO23:AO24"/>
    <mergeCell ref="AO25:AO26"/>
    <mergeCell ref="AN15:AN16"/>
    <mergeCell ref="AP15:AP16"/>
    <mergeCell ref="AN17:AN18"/>
    <mergeCell ref="AP17:AP18"/>
    <mergeCell ref="AN19:AN20"/>
    <mergeCell ref="AP19:AP20"/>
    <mergeCell ref="AP7:AP8"/>
    <mergeCell ref="AN9:AN10"/>
    <mergeCell ref="AP9:AP10"/>
    <mergeCell ref="AN11:AN12"/>
    <mergeCell ref="AP11:AP12"/>
    <mergeCell ref="AN13:AN14"/>
    <mergeCell ref="AP13:AP14"/>
    <mergeCell ref="AF1:AG1"/>
    <mergeCell ref="AK1:AL1"/>
    <mergeCell ref="AN1:AP1"/>
    <mergeCell ref="AN3:AN4"/>
    <mergeCell ref="AP3:AP4"/>
    <mergeCell ref="AN5:AN6"/>
    <mergeCell ref="AP5:AP6"/>
    <mergeCell ref="AN7:AN8"/>
    <mergeCell ref="AH1:AJ1"/>
    <mergeCell ref="AH3:AH4"/>
    <mergeCell ref="AJ3:AJ4"/>
    <mergeCell ref="AH5:AH6"/>
    <mergeCell ref="AJ5:AJ6"/>
    <mergeCell ref="AH7:AH8"/>
    <mergeCell ref="AJ7:AJ8"/>
    <mergeCell ref="AI3:AI4"/>
    <mergeCell ref="AI5:AI6"/>
    <mergeCell ref="AB1:AB2"/>
    <mergeCell ref="AC1:AC2"/>
    <mergeCell ref="AE1:AE2"/>
    <mergeCell ref="P1:P2"/>
    <mergeCell ref="Q1:Q2"/>
    <mergeCell ref="R1:R2"/>
    <mergeCell ref="S1:S2"/>
    <mergeCell ref="T1:T2"/>
    <mergeCell ref="U1:U2"/>
    <mergeCell ref="B1:B2"/>
    <mergeCell ref="I1:I2"/>
    <mergeCell ref="J1:J2"/>
    <mergeCell ref="M1:M2"/>
    <mergeCell ref="N1:N2"/>
    <mergeCell ref="O1:O2"/>
    <mergeCell ref="V1:V2"/>
    <mergeCell ref="Y1:Y2"/>
    <mergeCell ref="AA1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5086-67F9-4690-9C38-80691AE2DC72}">
  <dimension ref="A1:BH39"/>
  <sheetViews>
    <sheetView topLeftCell="AQ1" workbookViewId="0">
      <selection activeCell="AN28" sqref="AN28"/>
    </sheetView>
  </sheetViews>
  <sheetFormatPr baseColWidth="10" defaultRowHeight="15" x14ac:dyDescent="0.25"/>
  <cols>
    <col min="1" max="1" width="11.85546875" style="162" customWidth="1"/>
    <col min="2" max="2" width="11.85546875" style="162" bestFit="1" customWidth="1"/>
    <col min="3" max="3" width="8" style="162" bestFit="1" customWidth="1"/>
    <col min="4" max="9" width="11.42578125" style="162"/>
    <col min="10" max="10" width="14.140625" style="162" bestFit="1" customWidth="1"/>
    <col min="11" max="38" width="11.42578125" style="162"/>
    <col min="39" max="39" width="12.5703125" style="162" bestFit="1" customWidth="1"/>
    <col min="40" max="44" width="11.42578125" style="162"/>
    <col min="45" max="60" width="10.7109375" style="162" customWidth="1"/>
    <col min="61" max="16384" width="11.42578125" style="162"/>
  </cols>
  <sheetData>
    <row r="1" spans="1:60" s="199" customFormat="1" ht="15.75" thickBot="1" x14ac:dyDescent="0.3">
      <c r="D1" s="324" t="s">
        <v>268</v>
      </c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 t="s">
        <v>265</v>
      </c>
      <c r="R1" s="324"/>
      <c r="S1" s="324"/>
      <c r="T1" s="324"/>
      <c r="U1" s="324" t="s">
        <v>266</v>
      </c>
      <c r="V1" s="324"/>
      <c r="W1" s="324"/>
      <c r="X1" s="324"/>
      <c r="Y1" s="324" t="s">
        <v>264</v>
      </c>
      <c r="Z1" s="324"/>
      <c r="AA1" s="324"/>
      <c r="AB1" s="324"/>
      <c r="AC1" s="324"/>
      <c r="AD1" s="324"/>
      <c r="AE1" s="324"/>
      <c r="AF1" s="324" t="s">
        <v>267</v>
      </c>
      <c r="AG1" s="324"/>
      <c r="AH1" s="325" t="s">
        <v>269</v>
      </c>
      <c r="AI1" s="325"/>
      <c r="AJ1" s="325"/>
      <c r="AK1" s="325"/>
      <c r="AL1" s="325"/>
      <c r="AM1" s="325"/>
      <c r="AN1" s="325"/>
      <c r="AO1" s="325"/>
      <c r="AP1" s="325"/>
      <c r="AQ1" s="325"/>
      <c r="AR1" s="325"/>
      <c r="AS1" s="325"/>
      <c r="AT1" s="325"/>
      <c r="AU1" s="325"/>
      <c r="AV1" s="325"/>
      <c r="AW1" s="325"/>
      <c r="AX1" s="325"/>
      <c r="AY1" s="325"/>
      <c r="AZ1" s="325"/>
      <c r="BA1" s="325"/>
      <c r="BB1" s="325"/>
      <c r="BC1" s="325"/>
      <c r="BD1" s="325"/>
      <c r="BE1" s="325"/>
      <c r="BF1" s="325"/>
    </row>
    <row r="2" spans="1:60" ht="47.25" x14ac:dyDescent="0.25">
      <c r="A2" s="334" t="s">
        <v>245</v>
      </c>
      <c r="B2" s="334" t="s">
        <v>180</v>
      </c>
      <c r="C2" s="334" t="s">
        <v>244</v>
      </c>
      <c r="D2" s="289" t="s">
        <v>17</v>
      </c>
      <c r="E2" s="178" t="s">
        <v>168</v>
      </c>
      <c r="F2" s="178" t="s">
        <v>168</v>
      </c>
      <c r="G2" s="178"/>
      <c r="H2" s="178"/>
      <c r="I2" s="178" t="s">
        <v>229</v>
      </c>
      <c r="J2" s="178" t="s">
        <v>168</v>
      </c>
      <c r="K2" s="291" t="s">
        <v>18</v>
      </c>
      <c r="L2" s="291" t="s">
        <v>19</v>
      </c>
      <c r="M2" s="139" t="s">
        <v>169</v>
      </c>
      <c r="N2" s="139" t="s">
        <v>171</v>
      </c>
      <c r="O2" s="291" t="s">
        <v>22</v>
      </c>
      <c r="P2" s="293" t="s">
        <v>23</v>
      </c>
      <c r="Q2" s="278" t="s">
        <v>164</v>
      </c>
      <c r="R2" s="280" t="s">
        <v>28</v>
      </c>
      <c r="S2" s="280" t="s">
        <v>29</v>
      </c>
      <c r="T2" s="281" t="s">
        <v>30</v>
      </c>
      <c r="U2" s="283" t="s">
        <v>165</v>
      </c>
      <c r="V2" s="275" t="s">
        <v>28</v>
      </c>
      <c r="W2" s="275" t="s">
        <v>29</v>
      </c>
      <c r="X2" s="276" t="s">
        <v>30</v>
      </c>
      <c r="Y2" s="140" t="s">
        <v>47</v>
      </c>
      <c r="Z2" s="177" t="s">
        <v>166</v>
      </c>
      <c r="AA2" s="280" t="s">
        <v>36</v>
      </c>
      <c r="AB2" s="141" t="s">
        <v>167</v>
      </c>
      <c r="AC2" s="280" t="s">
        <v>38</v>
      </c>
      <c r="AD2" s="280" t="s">
        <v>39</v>
      </c>
      <c r="AE2" s="280" t="s">
        <v>262</v>
      </c>
      <c r="AF2" s="142" t="s">
        <v>172</v>
      </c>
      <c r="AG2" s="298" t="s">
        <v>263</v>
      </c>
      <c r="AH2" s="340" t="s">
        <v>230</v>
      </c>
      <c r="AI2" s="341"/>
      <c r="AJ2" s="340" t="s">
        <v>234</v>
      </c>
      <c r="AK2" s="342"/>
      <c r="AL2" s="343"/>
      <c r="AM2" s="344" t="s">
        <v>231</v>
      </c>
      <c r="AN2" s="345"/>
      <c r="AO2" s="204"/>
      <c r="AP2" s="346" t="s">
        <v>234</v>
      </c>
      <c r="AQ2" s="346"/>
      <c r="AR2" s="346"/>
      <c r="AS2" s="338" t="s">
        <v>273</v>
      </c>
      <c r="AT2" s="339"/>
      <c r="AU2" s="339"/>
      <c r="AV2" s="339"/>
      <c r="AW2" s="339"/>
      <c r="AX2" s="339"/>
      <c r="AY2" s="339"/>
      <c r="AZ2" s="326" t="s">
        <v>272</v>
      </c>
      <c r="BA2" s="326"/>
      <c r="BB2" s="326"/>
      <c r="BC2" s="326"/>
      <c r="BD2" s="326"/>
      <c r="BE2" s="326"/>
      <c r="BF2" s="326"/>
      <c r="BG2" s="326"/>
      <c r="BH2" s="326"/>
    </row>
    <row r="3" spans="1:60" ht="48" thickBot="1" x14ac:dyDescent="0.3">
      <c r="A3" s="335"/>
      <c r="B3" s="335"/>
      <c r="C3" s="335"/>
      <c r="D3" s="290"/>
      <c r="E3" s="179" t="s">
        <v>33</v>
      </c>
      <c r="F3" s="179" t="s">
        <v>152</v>
      </c>
      <c r="G3" s="179" t="s">
        <v>24</v>
      </c>
      <c r="H3" s="179" t="s">
        <v>25</v>
      </c>
      <c r="I3" s="179" t="s">
        <v>26</v>
      </c>
      <c r="J3" s="179" t="s">
        <v>32</v>
      </c>
      <c r="K3" s="292"/>
      <c r="L3" s="292"/>
      <c r="M3" s="144" t="s">
        <v>20</v>
      </c>
      <c r="N3" s="144" t="s">
        <v>21</v>
      </c>
      <c r="O3" s="292"/>
      <c r="P3" s="294"/>
      <c r="Q3" s="295"/>
      <c r="R3" s="297"/>
      <c r="S3" s="297"/>
      <c r="T3" s="300"/>
      <c r="U3" s="301"/>
      <c r="V3" s="302"/>
      <c r="W3" s="302"/>
      <c r="X3" s="296"/>
      <c r="Y3" s="145" t="s">
        <v>60</v>
      </c>
      <c r="Z3" s="180" t="s">
        <v>61</v>
      </c>
      <c r="AA3" s="297"/>
      <c r="AB3" s="147" t="s">
        <v>37</v>
      </c>
      <c r="AC3" s="297"/>
      <c r="AD3" s="297"/>
      <c r="AE3" s="297"/>
      <c r="AF3" s="148" t="s">
        <v>40</v>
      </c>
      <c r="AG3" s="299"/>
      <c r="AH3" s="201" t="s">
        <v>232</v>
      </c>
      <c r="AI3" s="202" t="s">
        <v>233</v>
      </c>
      <c r="AJ3" s="201" t="s">
        <v>232</v>
      </c>
      <c r="AK3" s="201" t="s">
        <v>232</v>
      </c>
      <c r="AL3" s="203" t="s">
        <v>233</v>
      </c>
      <c r="AM3" s="205" t="s">
        <v>232</v>
      </c>
      <c r="AN3" s="206" t="s">
        <v>233</v>
      </c>
      <c r="AO3" s="207" t="s">
        <v>235</v>
      </c>
      <c r="AP3" s="207" t="s">
        <v>232</v>
      </c>
      <c r="AQ3" s="207" t="s">
        <v>235</v>
      </c>
      <c r="AR3" s="207" t="s">
        <v>233</v>
      </c>
      <c r="AS3" s="216" t="s">
        <v>236</v>
      </c>
      <c r="AT3" s="216" t="s">
        <v>237</v>
      </c>
      <c r="AU3" s="216" t="s">
        <v>238</v>
      </c>
      <c r="AV3" s="216" t="s">
        <v>239</v>
      </c>
      <c r="AW3" s="216" t="s">
        <v>240</v>
      </c>
      <c r="AX3" s="216" t="s">
        <v>241</v>
      </c>
      <c r="AY3" s="216" t="s">
        <v>242</v>
      </c>
      <c r="AZ3" s="217" t="s">
        <v>236</v>
      </c>
      <c r="BA3" s="217" t="s">
        <v>237</v>
      </c>
      <c r="BB3" s="217" t="s">
        <v>238</v>
      </c>
      <c r="BC3" s="217" t="s">
        <v>239</v>
      </c>
      <c r="BD3" s="217" t="s">
        <v>240</v>
      </c>
      <c r="BE3" s="217" t="s">
        <v>241</v>
      </c>
      <c r="BF3" s="217" t="s">
        <v>242</v>
      </c>
      <c r="BG3" s="217" t="s">
        <v>180</v>
      </c>
      <c r="BH3" s="217" t="s">
        <v>259</v>
      </c>
    </row>
    <row r="4" spans="1:60" ht="16.5" customHeight="1" thickBot="1" x14ac:dyDescent="0.3">
      <c r="A4" s="167">
        <f>H4*10000</f>
        <v>205200</v>
      </c>
      <c r="B4" s="349">
        <f>A4-A5</f>
        <v>25156</v>
      </c>
      <c r="C4" s="168">
        <v>1</v>
      </c>
      <c r="D4" s="149">
        <v>27</v>
      </c>
      <c r="E4" s="52" t="s">
        <v>34</v>
      </c>
      <c r="F4" s="69" t="s">
        <v>270</v>
      </c>
      <c r="G4" s="52">
        <v>0.76</v>
      </c>
      <c r="H4" s="52">
        <f>D4*G4</f>
        <v>20.52</v>
      </c>
      <c r="I4" s="52">
        <f>H4</f>
        <v>20.52</v>
      </c>
      <c r="J4" s="52" t="s">
        <v>160</v>
      </c>
      <c r="K4" s="48">
        <v>22</v>
      </c>
      <c r="L4" s="48">
        <v>10</v>
      </c>
      <c r="M4" s="52">
        <v>60</v>
      </c>
      <c r="N4" s="52">
        <v>0</v>
      </c>
      <c r="O4" s="48">
        <v>17</v>
      </c>
      <c r="P4" s="64">
        <f>((K4-L4)/100)*M4*(1-(N4/100))</f>
        <v>7.1999999999999993</v>
      </c>
      <c r="Q4" s="65">
        <v>0.2</v>
      </c>
      <c r="R4" s="52">
        <f>P4*Q4</f>
        <v>1.44</v>
      </c>
      <c r="S4" s="52">
        <f>R4*10</f>
        <v>14.399999999999999</v>
      </c>
      <c r="T4" s="52">
        <f>I4/S4</f>
        <v>1.425</v>
      </c>
      <c r="U4" s="65">
        <v>0.4</v>
      </c>
      <c r="V4" s="52">
        <f>P4*U4</f>
        <v>2.88</v>
      </c>
      <c r="W4" s="52">
        <f>V4*10</f>
        <v>28.799999999999997</v>
      </c>
      <c r="X4" s="52">
        <f>I4/W4</f>
        <v>0.71250000000000002</v>
      </c>
      <c r="Y4" s="52">
        <v>3</v>
      </c>
      <c r="Z4" s="52">
        <v>0.5</v>
      </c>
      <c r="AA4" s="52">
        <f>10000/(Y4*Z4)</f>
        <v>6666.666666666667</v>
      </c>
      <c r="AB4" s="52">
        <v>4</v>
      </c>
      <c r="AC4" s="52">
        <f>AA4*AB4/10000</f>
        <v>2.666666666666667</v>
      </c>
      <c r="AD4" s="65">
        <v>0.9</v>
      </c>
      <c r="AE4" s="52">
        <f>I4/(AC4*AD4)</f>
        <v>8.5499999999999989</v>
      </c>
      <c r="AF4" s="52">
        <v>80</v>
      </c>
      <c r="AG4" s="152">
        <f>5*AF4/4</f>
        <v>100</v>
      </c>
      <c r="AH4" s="149">
        <f>X4</f>
        <v>0.71250000000000002</v>
      </c>
      <c r="AI4" s="152">
        <f>AG4</f>
        <v>100</v>
      </c>
      <c r="AJ4" s="314">
        <f>AH4-AH5</f>
        <v>8.7347222222222132E-2</v>
      </c>
      <c r="AK4" s="318">
        <f>ABS(AH4-AH5)/AH5</f>
        <v>0.13972140143520456</v>
      </c>
      <c r="AL4" s="316">
        <f>ABS(AI4-AI5)/AI5</f>
        <v>0</v>
      </c>
      <c r="AM4" s="149">
        <f>T4</f>
        <v>1.425</v>
      </c>
      <c r="AN4" s="152">
        <f>AE4</f>
        <v>8.5499999999999989</v>
      </c>
      <c r="AO4" s="322">
        <f>AM4-AM5</f>
        <v>0.17469444444444426</v>
      </c>
      <c r="AP4" s="305">
        <f>ABS(AM4-AM5)/AM5</f>
        <v>0.13972140143520456</v>
      </c>
      <c r="AQ4" s="320">
        <f>AN4-AN5</f>
        <v>1.0481666666666669</v>
      </c>
      <c r="AR4" s="347">
        <f>ABS(AN4-AN5)/AN5</f>
        <v>0.13972140143520478</v>
      </c>
      <c r="AS4" s="218" t="s">
        <v>243</v>
      </c>
      <c r="AT4" s="219" t="s">
        <v>243</v>
      </c>
      <c r="AU4" s="219" t="s">
        <v>243</v>
      </c>
      <c r="AV4" s="219">
        <v>100</v>
      </c>
      <c r="AW4" s="219" t="s">
        <v>243</v>
      </c>
      <c r="AX4" s="219" t="s">
        <v>243</v>
      </c>
      <c r="AY4" s="220" t="s">
        <v>243</v>
      </c>
      <c r="AZ4" s="218" t="s">
        <v>243</v>
      </c>
      <c r="BA4" s="219" t="s">
        <v>243</v>
      </c>
      <c r="BB4" s="219" t="s">
        <v>243</v>
      </c>
      <c r="BC4" s="221">
        <f>AN4</f>
        <v>8.5499999999999989</v>
      </c>
      <c r="BD4" s="219" t="s">
        <v>243</v>
      </c>
      <c r="BE4" s="219" t="s">
        <v>243</v>
      </c>
      <c r="BF4" s="220" t="s">
        <v>243</v>
      </c>
      <c r="BG4" s="336">
        <f>ABS(BC4-BC5)</f>
        <v>1.0481666666666669</v>
      </c>
      <c r="BH4" s="337">
        <f>BG4*60</f>
        <v>62.890000000000015</v>
      </c>
    </row>
    <row r="5" spans="1:60" ht="16.5" customHeight="1" thickBot="1" x14ac:dyDescent="0.3">
      <c r="A5" s="166">
        <f t="shared" ref="A5:A11" si="0">H5*10000</f>
        <v>180044</v>
      </c>
      <c r="B5" s="350"/>
      <c r="C5" s="165">
        <v>1</v>
      </c>
      <c r="D5" s="150">
        <v>23.69</v>
      </c>
      <c r="E5" s="59" t="s">
        <v>34</v>
      </c>
      <c r="F5" s="69" t="s">
        <v>270</v>
      </c>
      <c r="G5" s="52">
        <v>0.76</v>
      </c>
      <c r="H5" s="59">
        <f>D5*G5</f>
        <v>18.0044</v>
      </c>
      <c r="I5" s="52">
        <f t="shared" ref="I5:I11" si="1">H5</f>
        <v>18.0044</v>
      </c>
      <c r="J5" s="52" t="s">
        <v>160</v>
      </c>
      <c r="K5" s="48">
        <v>22</v>
      </c>
      <c r="L5" s="48">
        <v>10</v>
      </c>
      <c r="M5" s="52">
        <v>60</v>
      </c>
      <c r="N5" s="52">
        <v>0</v>
      </c>
      <c r="O5" s="48">
        <v>17</v>
      </c>
      <c r="P5" s="64">
        <f t="shared" ref="P5:P11" si="2">((K5-L5)/100)*M5*(1-(N5/100))</f>
        <v>7.1999999999999993</v>
      </c>
      <c r="Q5" s="71">
        <v>0.2</v>
      </c>
      <c r="R5" s="59">
        <f>P5*Q5</f>
        <v>1.44</v>
      </c>
      <c r="S5" s="59">
        <f>R5*10</f>
        <v>14.399999999999999</v>
      </c>
      <c r="T5" s="59">
        <f>I5/S5</f>
        <v>1.2503055555555558</v>
      </c>
      <c r="U5" s="71">
        <v>0.4</v>
      </c>
      <c r="V5" s="59">
        <f>P5*U5</f>
        <v>2.88</v>
      </c>
      <c r="W5" s="59">
        <f>V5*10</f>
        <v>28.799999999999997</v>
      </c>
      <c r="X5" s="59">
        <f>I5/W5</f>
        <v>0.62515277777777789</v>
      </c>
      <c r="Y5" s="52">
        <v>3</v>
      </c>
      <c r="Z5" s="52">
        <v>0.5</v>
      </c>
      <c r="AA5" s="59">
        <f>10000/(Y5*Z5)</f>
        <v>6666.666666666667</v>
      </c>
      <c r="AB5" s="52">
        <v>4</v>
      </c>
      <c r="AC5" s="59">
        <f>AA5*AB5/10000</f>
        <v>2.666666666666667</v>
      </c>
      <c r="AD5" s="71">
        <v>0.9</v>
      </c>
      <c r="AE5" s="59">
        <f>I5/(AC5*AD5)</f>
        <v>7.501833333333332</v>
      </c>
      <c r="AF5" s="52">
        <v>80</v>
      </c>
      <c r="AG5" s="153">
        <f>5*AF5/4</f>
        <v>100</v>
      </c>
      <c r="AH5" s="150">
        <f t="shared" ref="AH5:AH11" si="3">X5</f>
        <v>0.62515277777777789</v>
      </c>
      <c r="AI5" s="153">
        <f t="shared" ref="AI5:AI11" si="4">AG5</f>
        <v>100</v>
      </c>
      <c r="AJ5" s="315"/>
      <c r="AK5" s="319"/>
      <c r="AL5" s="317"/>
      <c r="AM5" s="150">
        <f t="shared" ref="AM5:AM11" si="5">T5</f>
        <v>1.2503055555555558</v>
      </c>
      <c r="AN5" s="153">
        <f t="shared" ref="AN5:AN11" si="6">AE5</f>
        <v>7.501833333333332</v>
      </c>
      <c r="AO5" s="323"/>
      <c r="AP5" s="306"/>
      <c r="AQ5" s="321"/>
      <c r="AR5" s="348"/>
      <c r="AS5" s="222" t="s">
        <v>243</v>
      </c>
      <c r="AT5" s="223" t="s">
        <v>243</v>
      </c>
      <c r="AU5" s="223" t="s">
        <v>243</v>
      </c>
      <c r="AV5" s="223">
        <v>100</v>
      </c>
      <c r="AW5" s="223" t="s">
        <v>243</v>
      </c>
      <c r="AX5" s="223" t="s">
        <v>243</v>
      </c>
      <c r="AY5" s="224" t="s">
        <v>243</v>
      </c>
      <c r="AZ5" s="222" t="s">
        <v>243</v>
      </c>
      <c r="BA5" s="223" t="s">
        <v>243</v>
      </c>
      <c r="BB5" s="223" t="s">
        <v>243</v>
      </c>
      <c r="BC5" s="225">
        <f t="shared" ref="BC5:BC11" si="7">AN5</f>
        <v>7.501833333333332</v>
      </c>
      <c r="BD5" s="223" t="s">
        <v>243</v>
      </c>
      <c r="BE5" s="223" t="s">
        <v>243</v>
      </c>
      <c r="BF5" s="224" t="s">
        <v>243</v>
      </c>
      <c r="BG5" s="332"/>
      <c r="BH5" s="333"/>
    </row>
    <row r="6" spans="1:60" ht="16.5" customHeight="1" thickBot="1" x14ac:dyDescent="0.3">
      <c r="A6" s="166">
        <f t="shared" si="0"/>
        <v>158799.34269042185</v>
      </c>
      <c r="B6" s="349">
        <f t="shared" ref="B6" si="8">A6-A7</f>
        <v>1327.3426904218504</v>
      </c>
      <c r="C6" s="165">
        <v>2</v>
      </c>
      <c r="D6" s="149">
        <v>20.894650354002877</v>
      </c>
      <c r="E6" s="52" t="s">
        <v>34</v>
      </c>
      <c r="F6" s="69" t="s">
        <v>270</v>
      </c>
      <c r="G6" s="52">
        <v>0.76</v>
      </c>
      <c r="H6" s="52">
        <f t="shared" ref="H6:H11" si="9">D6*G6</f>
        <v>15.879934269042186</v>
      </c>
      <c r="I6" s="52">
        <f t="shared" si="1"/>
        <v>15.879934269042186</v>
      </c>
      <c r="J6" s="52" t="s">
        <v>160</v>
      </c>
      <c r="K6" s="48">
        <v>22</v>
      </c>
      <c r="L6" s="48">
        <v>10</v>
      </c>
      <c r="M6" s="52">
        <v>60</v>
      </c>
      <c r="N6" s="52">
        <v>0</v>
      </c>
      <c r="O6" s="48">
        <v>17</v>
      </c>
      <c r="P6" s="64">
        <f t="shared" si="2"/>
        <v>7.1999999999999993</v>
      </c>
      <c r="Q6" s="65">
        <v>0.2</v>
      </c>
      <c r="R6" s="52">
        <f t="shared" ref="R6:R11" si="10">P6*Q6</f>
        <v>1.44</v>
      </c>
      <c r="S6" s="52">
        <f t="shared" ref="S6:S11" si="11">R6*10</f>
        <v>14.399999999999999</v>
      </c>
      <c r="T6" s="52">
        <f t="shared" ref="T6:T11" si="12">I6/S6</f>
        <v>1.1027732131279298</v>
      </c>
      <c r="U6" s="65">
        <v>0.4</v>
      </c>
      <c r="V6" s="52">
        <f t="shared" ref="V6:V11" si="13">P6*U6</f>
        <v>2.88</v>
      </c>
      <c r="W6" s="52">
        <f t="shared" ref="W6:W11" si="14">V6*10</f>
        <v>28.799999999999997</v>
      </c>
      <c r="X6" s="52">
        <f t="shared" ref="X6:X11" si="15">I6/W6</f>
        <v>0.55138660656396488</v>
      </c>
      <c r="Y6" s="52">
        <v>3</v>
      </c>
      <c r="Z6" s="52">
        <v>0.5</v>
      </c>
      <c r="AA6" s="52">
        <f t="shared" ref="AA6:AA11" si="16">10000/(Y6*Z6)</f>
        <v>6666.666666666667</v>
      </c>
      <c r="AB6" s="52">
        <v>4</v>
      </c>
      <c r="AC6" s="52">
        <f t="shared" ref="AC6:AC11" si="17">AA6*AB6/10000</f>
        <v>2.666666666666667</v>
      </c>
      <c r="AD6" s="65">
        <v>0.9</v>
      </c>
      <c r="AE6" s="52">
        <f t="shared" ref="AE6:AE11" si="18">I6/(AC6*AD6)</f>
        <v>6.6166392787675763</v>
      </c>
      <c r="AF6" s="52">
        <v>80</v>
      </c>
      <c r="AG6" s="152">
        <f t="shared" ref="AG6:AG11" si="19">5*AF6/4</f>
        <v>100</v>
      </c>
      <c r="AH6" s="149">
        <f t="shared" si="3"/>
        <v>0.55138660656396488</v>
      </c>
      <c r="AI6" s="152">
        <f t="shared" si="4"/>
        <v>100</v>
      </c>
      <c r="AJ6" s="314">
        <f t="shared" ref="AJ6" si="20">AH6-AH7</f>
        <v>4.6088287861870691E-3</v>
      </c>
      <c r="AK6" s="318">
        <f t="shared" ref="AK6:AL6" si="21">ABS(AH6-AH7)/AH7</f>
        <v>8.4290711391350574E-3</v>
      </c>
      <c r="AL6" s="316">
        <f t="shared" si="21"/>
        <v>0</v>
      </c>
      <c r="AM6" s="149">
        <f t="shared" si="5"/>
        <v>1.1027732131279298</v>
      </c>
      <c r="AN6" s="152">
        <f t="shared" si="6"/>
        <v>6.6166392787675763</v>
      </c>
      <c r="AO6" s="322">
        <f>AM6-AM7</f>
        <v>9.2176575723741383E-3</v>
      </c>
      <c r="AP6" s="305">
        <f>ABS(AM6-AM7)/AM7</f>
        <v>8.4290711391350574E-3</v>
      </c>
      <c r="AQ6" s="320">
        <f>AN6-AN7</f>
        <v>5.5305945434244386E-2</v>
      </c>
      <c r="AR6" s="347">
        <f>ABS(AN6-AN7)/AN7</f>
        <v>8.4290711391349932E-3</v>
      </c>
      <c r="AS6" s="218" t="s">
        <v>243</v>
      </c>
      <c r="AT6" s="219" t="s">
        <v>243</v>
      </c>
      <c r="AU6" s="219" t="s">
        <v>243</v>
      </c>
      <c r="AV6" s="219">
        <v>100</v>
      </c>
      <c r="AW6" s="219" t="s">
        <v>243</v>
      </c>
      <c r="AX6" s="219" t="s">
        <v>243</v>
      </c>
      <c r="AY6" s="220" t="s">
        <v>243</v>
      </c>
      <c r="AZ6" s="226" t="s">
        <v>243</v>
      </c>
      <c r="BA6" s="227" t="s">
        <v>243</v>
      </c>
      <c r="BB6" s="227" t="s">
        <v>243</v>
      </c>
      <c r="BC6" s="228">
        <f t="shared" si="7"/>
        <v>6.6166392787675763</v>
      </c>
      <c r="BD6" s="227" t="s">
        <v>243</v>
      </c>
      <c r="BE6" s="227" t="s">
        <v>243</v>
      </c>
      <c r="BF6" s="229" t="s">
        <v>243</v>
      </c>
      <c r="BG6" s="327">
        <f t="shared" ref="BG6" si="22">ABS(BC6-BC7)</f>
        <v>5.5305945434244386E-2</v>
      </c>
      <c r="BH6" s="329">
        <f t="shared" ref="BH6" si="23">BG6*60</f>
        <v>3.3183567260546631</v>
      </c>
    </row>
    <row r="7" spans="1:60" ht="16.5" customHeight="1" thickBot="1" x14ac:dyDescent="0.3">
      <c r="A7" s="166">
        <f t="shared" si="0"/>
        <v>157472</v>
      </c>
      <c r="B7" s="350"/>
      <c r="C7" s="165">
        <v>2</v>
      </c>
      <c r="D7" s="151">
        <v>20.72</v>
      </c>
      <c r="E7" s="134" t="s">
        <v>34</v>
      </c>
      <c r="F7" s="69" t="s">
        <v>270</v>
      </c>
      <c r="G7" s="52">
        <v>0.76</v>
      </c>
      <c r="H7" s="59">
        <f t="shared" si="9"/>
        <v>15.747199999999999</v>
      </c>
      <c r="I7" s="52">
        <f t="shared" si="1"/>
        <v>15.747199999999999</v>
      </c>
      <c r="J7" s="52" t="s">
        <v>160</v>
      </c>
      <c r="K7" s="48">
        <v>22</v>
      </c>
      <c r="L7" s="48">
        <v>10</v>
      </c>
      <c r="M7" s="52">
        <v>60</v>
      </c>
      <c r="N7" s="52">
        <v>0</v>
      </c>
      <c r="O7" s="48">
        <v>17</v>
      </c>
      <c r="P7" s="64">
        <f t="shared" si="2"/>
        <v>7.1999999999999993</v>
      </c>
      <c r="Q7" s="71">
        <v>0.2</v>
      </c>
      <c r="R7" s="59">
        <f t="shared" si="10"/>
        <v>1.44</v>
      </c>
      <c r="S7" s="59">
        <f t="shared" si="11"/>
        <v>14.399999999999999</v>
      </c>
      <c r="T7" s="59">
        <f t="shared" si="12"/>
        <v>1.0935555555555556</v>
      </c>
      <c r="U7" s="71">
        <v>0.4</v>
      </c>
      <c r="V7" s="59">
        <f t="shared" si="13"/>
        <v>2.88</v>
      </c>
      <c r="W7" s="59">
        <f t="shared" si="14"/>
        <v>28.799999999999997</v>
      </c>
      <c r="X7" s="59">
        <f t="shared" si="15"/>
        <v>0.54677777777777781</v>
      </c>
      <c r="Y7" s="52">
        <v>3</v>
      </c>
      <c r="Z7" s="52">
        <v>0.5</v>
      </c>
      <c r="AA7" s="59">
        <f t="shared" si="16"/>
        <v>6666.666666666667</v>
      </c>
      <c r="AB7" s="52">
        <v>4</v>
      </c>
      <c r="AC7" s="59">
        <f t="shared" si="17"/>
        <v>2.666666666666667</v>
      </c>
      <c r="AD7" s="71">
        <v>0.9</v>
      </c>
      <c r="AE7" s="59">
        <f t="shared" si="18"/>
        <v>6.5613333333333319</v>
      </c>
      <c r="AF7" s="52">
        <v>80</v>
      </c>
      <c r="AG7" s="153">
        <f t="shared" si="19"/>
        <v>100</v>
      </c>
      <c r="AH7" s="150">
        <f t="shared" si="3"/>
        <v>0.54677777777777781</v>
      </c>
      <c r="AI7" s="153">
        <f t="shared" si="4"/>
        <v>100</v>
      </c>
      <c r="AJ7" s="315"/>
      <c r="AK7" s="319"/>
      <c r="AL7" s="317"/>
      <c r="AM7" s="150">
        <f t="shared" si="5"/>
        <v>1.0935555555555556</v>
      </c>
      <c r="AN7" s="153">
        <f t="shared" si="6"/>
        <v>6.5613333333333319</v>
      </c>
      <c r="AO7" s="323"/>
      <c r="AP7" s="306"/>
      <c r="AQ7" s="321"/>
      <c r="AR7" s="348"/>
      <c r="AS7" s="222" t="s">
        <v>243</v>
      </c>
      <c r="AT7" s="223" t="s">
        <v>243</v>
      </c>
      <c r="AU7" s="223" t="s">
        <v>243</v>
      </c>
      <c r="AV7" s="223">
        <v>100</v>
      </c>
      <c r="AW7" s="223" t="s">
        <v>243</v>
      </c>
      <c r="AX7" s="223" t="s">
        <v>243</v>
      </c>
      <c r="AY7" s="224" t="s">
        <v>243</v>
      </c>
      <c r="AZ7" s="222" t="s">
        <v>243</v>
      </c>
      <c r="BA7" s="223" t="s">
        <v>243</v>
      </c>
      <c r="BB7" s="223" t="s">
        <v>243</v>
      </c>
      <c r="BC7" s="225">
        <f t="shared" si="7"/>
        <v>6.5613333333333319</v>
      </c>
      <c r="BD7" s="223" t="s">
        <v>243</v>
      </c>
      <c r="BE7" s="223" t="s">
        <v>243</v>
      </c>
      <c r="BF7" s="224" t="s">
        <v>243</v>
      </c>
      <c r="BG7" s="328"/>
      <c r="BH7" s="330"/>
    </row>
    <row r="8" spans="1:60" ht="16.5" customHeight="1" thickBot="1" x14ac:dyDescent="0.3">
      <c r="A8" s="166">
        <f t="shared" si="0"/>
        <v>151469.63988294918</v>
      </c>
      <c r="B8" s="349">
        <f t="shared" ref="B8" si="24">A8-A9</f>
        <v>19305.639882949181</v>
      </c>
      <c r="C8" s="165">
        <v>3</v>
      </c>
      <c r="D8" s="149">
        <v>19.930215774072259</v>
      </c>
      <c r="E8" s="52" t="s">
        <v>34</v>
      </c>
      <c r="F8" s="69" t="s">
        <v>270</v>
      </c>
      <c r="G8" s="52">
        <v>0.76</v>
      </c>
      <c r="H8" s="52">
        <f t="shared" si="9"/>
        <v>15.146963988294917</v>
      </c>
      <c r="I8" s="52">
        <f t="shared" si="1"/>
        <v>15.146963988294917</v>
      </c>
      <c r="J8" s="52" t="s">
        <v>160</v>
      </c>
      <c r="K8" s="48">
        <v>22</v>
      </c>
      <c r="L8" s="48">
        <v>10</v>
      </c>
      <c r="M8" s="52">
        <v>60</v>
      </c>
      <c r="N8" s="52">
        <v>0</v>
      </c>
      <c r="O8" s="48">
        <v>17</v>
      </c>
      <c r="P8" s="64">
        <f t="shared" si="2"/>
        <v>7.1999999999999993</v>
      </c>
      <c r="Q8" s="65">
        <v>0.2</v>
      </c>
      <c r="R8" s="52">
        <f t="shared" si="10"/>
        <v>1.44</v>
      </c>
      <c r="S8" s="52">
        <f t="shared" si="11"/>
        <v>14.399999999999999</v>
      </c>
      <c r="T8" s="52">
        <f t="shared" si="12"/>
        <v>1.0518724991871471</v>
      </c>
      <c r="U8" s="65">
        <v>0.4</v>
      </c>
      <c r="V8" s="52">
        <f t="shared" si="13"/>
        <v>2.88</v>
      </c>
      <c r="W8" s="52">
        <f t="shared" si="14"/>
        <v>28.799999999999997</v>
      </c>
      <c r="X8" s="52">
        <f t="shared" si="15"/>
        <v>0.52593624959357355</v>
      </c>
      <c r="Y8" s="52">
        <v>3</v>
      </c>
      <c r="Z8" s="52">
        <v>0.5</v>
      </c>
      <c r="AA8" s="52">
        <f t="shared" si="16"/>
        <v>6666.666666666667</v>
      </c>
      <c r="AB8" s="52">
        <v>4</v>
      </c>
      <c r="AC8" s="52">
        <f t="shared" si="17"/>
        <v>2.666666666666667</v>
      </c>
      <c r="AD8" s="65">
        <v>0.9</v>
      </c>
      <c r="AE8" s="52">
        <f t="shared" si="18"/>
        <v>6.3112349951228817</v>
      </c>
      <c r="AF8" s="52">
        <v>80</v>
      </c>
      <c r="AG8" s="152">
        <f t="shared" si="19"/>
        <v>100</v>
      </c>
      <c r="AH8" s="149">
        <f t="shared" si="3"/>
        <v>0.52593624959357355</v>
      </c>
      <c r="AI8" s="152">
        <f t="shared" si="4"/>
        <v>100</v>
      </c>
      <c r="AJ8" s="314">
        <f t="shared" ref="AJ8" si="25">AH8-AH9</f>
        <v>6.703347181579572E-2</v>
      </c>
      <c r="AK8" s="318">
        <f t="shared" ref="AK8:AL8" si="26">ABS(AH8-AH9)/AH9</f>
        <v>0.14607336251134323</v>
      </c>
      <c r="AL8" s="316">
        <f t="shared" si="26"/>
        <v>0</v>
      </c>
      <c r="AM8" s="149">
        <f t="shared" si="5"/>
        <v>1.0518724991871471</v>
      </c>
      <c r="AN8" s="152">
        <f t="shared" si="6"/>
        <v>6.3112349951228817</v>
      </c>
      <c r="AO8" s="322">
        <f>AM8-AM9</f>
        <v>0.13406694363159144</v>
      </c>
      <c r="AP8" s="305">
        <f>ABS(AM8-AM9)/AM9</f>
        <v>0.14607336251134323</v>
      </c>
      <c r="AQ8" s="320">
        <f>AN8-AN9</f>
        <v>0.80440166178954886</v>
      </c>
      <c r="AR8" s="347">
        <f>ABS(AN8-AN9)/AN9</f>
        <v>0.14607336251134329</v>
      </c>
      <c r="AS8" s="218" t="s">
        <v>243</v>
      </c>
      <c r="AT8" s="219" t="s">
        <v>243</v>
      </c>
      <c r="AU8" s="219" t="s">
        <v>243</v>
      </c>
      <c r="AV8" s="219">
        <v>100</v>
      </c>
      <c r="AW8" s="219" t="s">
        <v>243</v>
      </c>
      <c r="AX8" s="219" t="s">
        <v>243</v>
      </c>
      <c r="AY8" s="220" t="s">
        <v>243</v>
      </c>
      <c r="AZ8" s="218" t="s">
        <v>243</v>
      </c>
      <c r="BA8" s="219" t="s">
        <v>243</v>
      </c>
      <c r="BB8" s="219" t="s">
        <v>243</v>
      </c>
      <c r="BC8" s="221">
        <f t="shared" si="7"/>
        <v>6.3112349951228817</v>
      </c>
      <c r="BD8" s="219" t="s">
        <v>243</v>
      </c>
      <c r="BE8" s="219" t="s">
        <v>243</v>
      </c>
      <c r="BF8" s="220" t="s">
        <v>243</v>
      </c>
      <c r="BG8" s="331">
        <f t="shared" ref="BG8" si="27">ABS(BC8-BC9)</f>
        <v>0.80440166178954886</v>
      </c>
      <c r="BH8" s="330">
        <f t="shared" ref="BH8" si="28">BG8*60</f>
        <v>48.264099707372935</v>
      </c>
    </row>
    <row r="9" spans="1:60" ht="16.5" customHeight="1" thickBot="1" x14ac:dyDescent="0.3">
      <c r="A9" s="166">
        <f t="shared" si="0"/>
        <v>132164</v>
      </c>
      <c r="B9" s="350"/>
      <c r="C9" s="165">
        <v>3</v>
      </c>
      <c r="D9" s="150">
        <v>17.39</v>
      </c>
      <c r="E9" s="59" t="s">
        <v>34</v>
      </c>
      <c r="F9" s="69" t="s">
        <v>270</v>
      </c>
      <c r="G9" s="52">
        <v>0.76</v>
      </c>
      <c r="H9" s="59">
        <f t="shared" si="9"/>
        <v>13.2164</v>
      </c>
      <c r="I9" s="52">
        <f t="shared" si="1"/>
        <v>13.2164</v>
      </c>
      <c r="J9" s="52" t="s">
        <v>160</v>
      </c>
      <c r="K9" s="48">
        <v>22</v>
      </c>
      <c r="L9" s="48">
        <v>10</v>
      </c>
      <c r="M9" s="52">
        <v>60</v>
      </c>
      <c r="N9" s="52">
        <v>0</v>
      </c>
      <c r="O9" s="48">
        <v>17</v>
      </c>
      <c r="P9" s="64">
        <f t="shared" si="2"/>
        <v>7.1999999999999993</v>
      </c>
      <c r="Q9" s="71">
        <v>0.2</v>
      </c>
      <c r="R9" s="59">
        <f t="shared" si="10"/>
        <v>1.44</v>
      </c>
      <c r="S9" s="59">
        <f t="shared" si="11"/>
        <v>14.399999999999999</v>
      </c>
      <c r="T9" s="59">
        <f t="shared" si="12"/>
        <v>0.91780555555555565</v>
      </c>
      <c r="U9" s="71">
        <v>0.4</v>
      </c>
      <c r="V9" s="59">
        <f t="shared" si="13"/>
        <v>2.88</v>
      </c>
      <c r="W9" s="59">
        <f t="shared" si="14"/>
        <v>28.799999999999997</v>
      </c>
      <c r="X9" s="59">
        <f t="shared" si="15"/>
        <v>0.45890277777777783</v>
      </c>
      <c r="Y9" s="52">
        <v>3</v>
      </c>
      <c r="Z9" s="52">
        <v>0.5</v>
      </c>
      <c r="AA9" s="59">
        <f t="shared" si="16"/>
        <v>6666.666666666667</v>
      </c>
      <c r="AB9" s="52">
        <v>4</v>
      </c>
      <c r="AC9" s="59">
        <f t="shared" si="17"/>
        <v>2.666666666666667</v>
      </c>
      <c r="AD9" s="71">
        <v>0.9</v>
      </c>
      <c r="AE9" s="59">
        <f t="shared" si="18"/>
        <v>5.5068333333333328</v>
      </c>
      <c r="AF9" s="52">
        <v>80</v>
      </c>
      <c r="AG9" s="153">
        <f t="shared" si="19"/>
        <v>100</v>
      </c>
      <c r="AH9" s="150">
        <f t="shared" si="3"/>
        <v>0.45890277777777783</v>
      </c>
      <c r="AI9" s="153">
        <f t="shared" si="4"/>
        <v>100</v>
      </c>
      <c r="AJ9" s="315"/>
      <c r="AK9" s="319"/>
      <c r="AL9" s="317"/>
      <c r="AM9" s="150">
        <f t="shared" si="5"/>
        <v>0.91780555555555565</v>
      </c>
      <c r="AN9" s="153">
        <f t="shared" si="6"/>
        <v>5.5068333333333328</v>
      </c>
      <c r="AO9" s="323"/>
      <c r="AP9" s="306"/>
      <c r="AQ9" s="321"/>
      <c r="AR9" s="348"/>
      <c r="AS9" s="222" t="s">
        <v>243</v>
      </c>
      <c r="AT9" s="223" t="s">
        <v>243</v>
      </c>
      <c r="AU9" s="223" t="s">
        <v>243</v>
      </c>
      <c r="AV9" s="223">
        <v>100</v>
      </c>
      <c r="AW9" s="223" t="s">
        <v>243</v>
      </c>
      <c r="AX9" s="223" t="s">
        <v>243</v>
      </c>
      <c r="AY9" s="224" t="s">
        <v>243</v>
      </c>
      <c r="AZ9" s="222" t="s">
        <v>243</v>
      </c>
      <c r="BA9" s="223" t="s">
        <v>243</v>
      </c>
      <c r="BB9" s="223" t="s">
        <v>243</v>
      </c>
      <c r="BC9" s="225">
        <f t="shared" si="7"/>
        <v>5.5068333333333328</v>
      </c>
      <c r="BD9" s="223" t="s">
        <v>243</v>
      </c>
      <c r="BE9" s="223" t="s">
        <v>243</v>
      </c>
      <c r="BF9" s="224" t="s">
        <v>243</v>
      </c>
      <c r="BG9" s="328"/>
      <c r="BH9" s="330"/>
    </row>
    <row r="10" spans="1:60" ht="16.5" customHeight="1" thickBot="1" x14ac:dyDescent="0.3">
      <c r="A10" s="166">
        <f t="shared" si="0"/>
        <v>149967.2763707588</v>
      </c>
      <c r="B10" s="349">
        <f t="shared" ref="B10" si="29">A10-A11</f>
        <v>21527.276370758802</v>
      </c>
      <c r="C10" s="165">
        <v>4</v>
      </c>
      <c r="D10" s="149">
        <v>19.732536364573527</v>
      </c>
      <c r="E10" s="52" t="s">
        <v>150</v>
      </c>
      <c r="F10" s="69" t="s">
        <v>270</v>
      </c>
      <c r="G10" s="52">
        <v>0.76</v>
      </c>
      <c r="H10" s="52">
        <f t="shared" si="9"/>
        <v>14.99672763707588</v>
      </c>
      <c r="I10" s="52">
        <f t="shared" si="1"/>
        <v>14.99672763707588</v>
      </c>
      <c r="J10" s="52" t="s">
        <v>160</v>
      </c>
      <c r="K10" s="48">
        <v>22</v>
      </c>
      <c r="L10" s="48">
        <v>10</v>
      </c>
      <c r="M10" s="52">
        <v>60</v>
      </c>
      <c r="N10" s="52">
        <v>0</v>
      </c>
      <c r="O10" s="48">
        <v>17</v>
      </c>
      <c r="P10" s="64">
        <f t="shared" si="2"/>
        <v>7.1999999999999993</v>
      </c>
      <c r="Q10" s="65">
        <v>0.2</v>
      </c>
      <c r="R10" s="52">
        <f t="shared" si="10"/>
        <v>1.44</v>
      </c>
      <c r="S10" s="52">
        <f t="shared" si="11"/>
        <v>14.399999999999999</v>
      </c>
      <c r="T10" s="52">
        <f t="shared" si="12"/>
        <v>1.0414394192413807</v>
      </c>
      <c r="U10" s="65">
        <v>0.4</v>
      </c>
      <c r="V10" s="52">
        <f t="shared" si="13"/>
        <v>2.88</v>
      </c>
      <c r="W10" s="52">
        <f t="shared" si="14"/>
        <v>28.799999999999997</v>
      </c>
      <c r="X10" s="52">
        <f t="shared" si="15"/>
        <v>0.52071970962069036</v>
      </c>
      <c r="Y10" s="52">
        <v>3</v>
      </c>
      <c r="Z10" s="52">
        <v>0.5</v>
      </c>
      <c r="AA10" s="52">
        <f t="shared" si="16"/>
        <v>6666.666666666667</v>
      </c>
      <c r="AB10" s="52">
        <v>4</v>
      </c>
      <c r="AC10" s="52">
        <f t="shared" si="17"/>
        <v>2.666666666666667</v>
      </c>
      <c r="AD10" s="65">
        <v>0.9</v>
      </c>
      <c r="AE10" s="52">
        <f t="shared" si="18"/>
        <v>6.2486365154482826</v>
      </c>
      <c r="AF10" s="52">
        <v>80</v>
      </c>
      <c r="AG10" s="152">
        <f t="shared" si="19"/>
        <v>100</v>
      </c>
      <c r="AH10" s="149">
        <f t="shared" si="3"/>
        <v>0.52071970962069036</v>
      </c>
      <c r="AI10" s="152">
        <f t="shared" si="4"/>
        <v>100</v>
      </c>
      <c r="AJ10" s="314">
        <f t="shared" ref="AJ10" si="30">AH10-AH11</f>
        <v>7.4747487398468093E-2</v>
      </c>
      <c r="AK10" s="318">
        <f t="shared" ref="AK10:AL10" si="31">ABS(AH10-AH11)/AH11</f>
        <v>0.16760570204577085</v>
      </c>
      <c r="AL10" s="316">
        <f t="shared" si="31"/>
        <v>0</v>
      </c>
      <c r="AM10" s="149">
        <f t="shared" si="5"/>
        <v>1.0414394192413807</v>
      </c>
      <c r="AN10" s="152">
        <f t="shared" si="6"/>
        <v>6.2486365154482826</v>
      </c>
      <c r="AO10" s="322">
        <f>AM10-AM11</f>
        <v>0.14949497479693619</v>
      </c>
      <c r="AP10" s="305">
        <f>ABS(AM10-AM11)/AM11</f>
        <v>0.16760570204577085</v>
      </c>
      <c r="AQ10" s="320">
        <f>AN10-AN11</f>
        <v>0.8969698487816169</v>
      </c>
      <c r="AR10" s="347">
        <f>ABS(AN10-AN11)/AN11</f>
        <v>0.16760570204577085</v>
      </c>
      <c r="AS10" s="218" t="s">
        <v>243</v>
      </c>
      <c r="AT10" s="219" t="s">
        <v>243</v>
      </c>
      <c r="AU10" s="219" t="s">
        <v>243</v>
      </c>
      <c r="AV10" s="219">
        <v>100</v>
      </c>
      <c r="AW10" s="219" t="s">
        <v>243</v>
      </c>
      <c r="AX10" s="219" t="s">
        <v>243</v>
      </c>
      <c r="AY10" s="220" t="s">
        <v>243</v>
      </c>
      <c r="AZ10" s="218" t="s">
        <v>243</v>
      </c>
      <c r="BA10" s="219" t="s">
        <v>243</v>
      </c>
      <c r="BB10" s="219" t="s">
        <v>243</v>
      </c>
      <c r="BC10" s="221">
        <f t="shared" si="7"/>
        <v>6.2486365154482826</v>
      </c>
      <c r="BD10" s="219" t="s">
        <v>243</v>
      </c>
      <c r="BE10" s="219" t="s">
        <v>243</v>
      </c>
      <c r="BF10" s="220" t="s">
        <v>243</v>
      </c>
      <c r="BG10" s="331">
        <f t="shared" ref="BG10" si="32">ABS(BC10-BC11)</f>
        <v>0.8969698487816169</v>
      </c>
      <c r="BH10" s="330">
        <f t="shared" ref="BH10" si="33">BG10*60</f>
        <v>53.818190926897017</v>
      </c>
    </row>
    <row r="11" spans="1:60" ht="16.5" customHeight="1" thickBot="1" x14ac:dyDescent="0.3">
      <c r="A11" s="166">
        <f t="shared" si="0"/>
        <v>128440</v>
      </c>
      <c r="B11" s="350"/>
      <c r="C11" s="165">
        <v>4</v>
      </c>
      <c r="D11" s="150">
        <v>16.899999999999999</v>
      </c>
      <c r="E11" s="59" t="s">
        <v>150</v>
      </c>
      <c r="F11" s="69" t="s">
        <v>270</v>
      </c>
      <c r="G11" s="52">
        <v>0.76</v>
      </c>
      <c r="H11" s="59">
        <f t="shared" si="9"/>
        <v>12.843999999999999</v>
      </c>
      <c r="I11" s="52">
        <f t="shared" si="1"/>
        <v>12.843999999999999</v>
      </c>
      <c r="J11" s="52" t="s">
        <v>160</v>
      </c>
      <c r="K11" s="48">
        <v>22</v>
      </c>
      <c r="L11" s="48">
        <v>10</v>
      </c>
      <c r="M11" s="52">
        <v>60</v>
      </c>
      <c r="N11" s="52">
        <v>0</v>
      </c>
      <c r="O11" s="48">
        <v>17</v>
      </c>
      <c r="P11" s="64">
        <f t="shared" si="2"/>
        <v>7.1999999999999993</v>
      </c>
      <c r="Q11" s="71">
        <v>0.2</v>
      </c>
      <c r="R11" s="59">
        <f t="shared" si="10"/>
        <v>1.44</v>
      </c>
      <c r="S11" s="59">
        <f t="shared" si="11"/>
        <v>14.399999999999999</v>
      </c>
      <c r="T11" s="59">
        <f t="shared" si="12"/>
        <v>0.89194444444444454</v>
      </c>
      <c r="U11" s="71">
        <v>0.4</v>
      </c>
      <c r="V11" s="59">
        <f t="shared" si="13"/>
        <v>2.88</v>
      </c>
      <c r="W11" s="59">
        <f t="shared" si="14"/>
        <v>28.799999999999997</v>
      </c>
      <c r="X11" s="59">
        <f t="shared" si="15"/>
        <v>0.44597222222222227</v>
      </c>
      <c r="Y11" s="52">
        <v>3</v>
      </c>
      <c r="Z11" s="52">
        <v>0.5</v>
      </c>
      <c r="AA11" s="59">
        <f t="shared" si="16"/>
        <v>6666.666666666667</v>
      </c>
      <c r="AB11" s="52">
        <v>4</v>
      </c>
      <c r="AC11" s="59">
        <f t="shared" si="17"/>
        <v>2.666666666666667</v>
      </c>
      <c r="AD11" s="71">
        <v>0.9</v>
      </c>
      <c r="AE11" s="59">
        <f t="shared" si="18"/>
        <v>5.3516666666666657</v>
      </c>
      <c r="AF11" s="52">
        <v>80</v>
      </c>
      <c r="AG11" s="153">
        <f t="shared" si="19"/>
        <v>100</v>
      </c>
      <c r="AH11" s="150">
        <f t="shared" si="3"/>
        <v>0.44597222222222227</v>
      </c>
      <c r="AI11" s="153">
        <f t="shared" si="4"/>
        <v>100</v>
      </c>
      <c r="AJ11" s="315"/>
      <c r="AK11" s="319"/>
      <c r="AL11" s="317"/>
      <c r="AM11" s="150">
        <f t="shared" si="5"/>
        <v>0.89194444444444454</v>
      </c>
      <c r="AN11" s="153">
        <f t="shared" si="6"/>
        <v>5.3516666666666657</v>
      </c>
      <c r="AO11" s="323"/>
      <c r="AP11" s="306"/>
      <c r="AQ11" s="321"/>
      <c r="AR11" s="348"/>
      <c r="AS11" s="222" t="s">
        <v>243</v>
      </c>
      <c r="AT11" s="223" t="s">
        <v>243</v>
      </c>
      <c r="AU11" s="223" t="s">
        <v>243</v>
      </c>
      <c r="AV11" s="223">
        <v>100</v>
      </c>
      <c r="AW11" s="223" t="s">
        <v>243</v>
      </c>
      <c r="AX11" s="223" t="s">
        <v>243</v>
      </c>
      <c r="AY11" s="224" t="s">
        <v>243</v>
      </c>
      <c r="AZ11" s="222" t="s">
        <v>243</v>
      </c>
      <c r="BA11" s="223" t="s">
        <v>243</v>
      </c>
      <c r="BB11" s="223" t="s">
        <v>243</v>
      </c>
      <c r="BC11" s="225">
        <f t="shared" si="7"/>
        <v>5.3516666666666657</v>
      </c>
      <c r="BD11" s="223" t="s">
        <v>243</v>
      </c>
      <c r="BE11" s="223" t="s">
        <v>243</v>
      </c>
      <c r="BF11" s="224" t="s">
        <v>243</v>
      </c>
      <c r="BG11" s="332"/>
      <c r="BH11" s="333"/>
    </row>
    <row r="13" spans="1:60" x14ac:dyDescent="0.25">
      <c r="BC13" s="233">
        <f>BC4+BC6+BC8+BC10</f>
        <v>27.726510789338739</v>
      </c>
    </row>
    <row r="14" spans="1:60" x14ac:dyDescent="0.25">
      <c r="BC14" s="233">
        <f>BC5+BC7+BC9+BC11</f>
        <v>24.921666666666663</v>
      </c>
    </row>
    <row r="15" spans="1:60" x14ac:dyDescent="0.25">
      <c r="AM15" s="169"/>
    </row>
    <row r="24" spans="33:40" x14ac:dyDescent="0.25">
      <c r="AG24" s="198"/>
      <c r="AH24" s="79"/>
      <c r="AI24" s="198"/>
      <c r="AJ24" s="198"/>
      <c r="AK24" s="198"/>
      <c r="AL24" s="79"/>
      <c r="AM24" s="198"/>
      <c r="AN24" s="198"/>
    </row>
    <row r="25" spans="33:40" x14ac:dyDescent="0.25">
      <c r="AG25" s="198"/>
      <c r="AH25" s="198"/>
      <c r="AI25" s="198"/>
      <c r="AJ25" s="198"/>
      <c r="AK25" s="198"/>
      <c r="AL25" s="198"/>
      <c r="AM25" s="198"/>
      <c r="AN25" s="198"/>
    </row>
    <row r="26" spans="33:40" x14ac:dyDescent="0.25">
      <c r="AG26" s="198"/>
      <c r="AH26" s="79"/>
      <c r="AI26" s="198"/>
      <c r="AJ26" s="198"/>
      <c r="AK26" s="198"/>
      <c r="AL26" s="79"/>
      <c r="AM26" s="198"/>
      <c r="AN26" s="198"/>
    </row>
    <row r="27" spans="33:40" x14ac:dyDescent="0.25">
      <c r="AG27" s="198"/>
      <c r="AH27" s="198"/>
      <c r="AI27" s="198"/>
      <c r="AJ27" s="198"/>
      <c r="AK27" s="198"/>
      <c r="AL27" s="198"/>
      <c r="AM27" s="198"/>
      <c r="AN27" s="198"/>
    </row>
    <row r="28" spans="33:40" x14ac:dyDescent="0.25">
      <c r="AG28" s="198"/>
      <c r="AH28" s="198"/>
      <c r="AI28" s="198"/>
      <c r="AJ28" s="198"/>
      <c r="AK28" s="198"/>
      <c r="AL28" s="198"/>
      <c r="AM28" s="198"/>
      <c r="AN28" s="198"/>
    </row>
    <row r="29" spans="33:40" x14ac:dyDescent="0.25">
      <c r="AJ29" s="198"/>
      <c r="AK29" s="198"/>
      <c r="AL29" s="198"/>
    </row>
    <row r="30" spans="33:40" x14ac:dyDescent="0.25">
      <c r="AJ30" s="198"/>
      <c r="AK30" s="79"/>
      <c r="AL30" s="198"/>
    </row>
    <row r="31" spans="33:40" x14ac:dyDescent="0.25">
      <c r="AJ31" s="198"/>
      <c r="AK31" s="79"/>
      <c r="AL31" s="198"/>
    </row>
    <row r="32" spans="33:40" x14ac:dyDescent="0.25">
      <c r="AJ32" s="198"/>
      <c r="AK32" s="79"/>
      <c r="AL32" s="198"/>
    </row>
    <row r="33" spans="36:38" x14ac:dyDescent="0.25">
      <c r="AJ33" s="198"/>
      <c r="AK33" s="79"/>
      <c r="AL33" s="198"/>
    </row>
    <row r="34" spans="36:38" x14ac:dyDescent="0.25">
      <c r="AJ34" s="198"/>
      <c r="AK34" s="79"/>
      <c r="AL34" s="198"/>
    </row>
    <row r="35" spans="36:38" x14ac:dyDescent="0.25">
      <c r="AJ35" s="198"/>
      <c r="AK35" s="79"/>
      <c r="AL35" s="198"/>
    </row>
    <row r="36" spans="36:38" x14ac:dyDescent="0.25">
      <c r="AJ36" s="198"/>
      <c r="AK36" s="79"/>
      <c r="AL36" s="198"/>
    </row>
    <row r="37" spans="36:38" x14ac:dyDescent="0.25">
      <c r="AJ37" s="198"/>
      <c r="AK37" s="79"/>
      <c r="AL37" s="198"/>
    </row>
    <row r="38" spans="36:38" x14ac:dyDescent="0.25">
      <c r="AJ38" s="198"/>
      <c r="AK38" s="198"/>
      <c r="AL38" s="198"/>
    </row>
    <row r="39" spans="36:38" x14ac:dyDescent="0.25">
      <c r="AJ39" s="198"/>
      <c r="AK39" s="198"/>
      <c r="AL39" s="198"/>
    </row>
  </sheetData>
  <mergeCells count="73">
    <mergeCell ref="B8:B9"/>
    <mergeCell ref="B10:B11"/>
    <mergeCell ref="B2:B3"/>
    <mergeCell ref="B4:B5"/>
    <mergeCell ref="B6:B7"/>
    <mergeCell ref="AL8:AL9"/>
    <mergeCell ref="AR8:AR9"/>
    <mergeCell ref="AL10:AL11"/>
    <mergeCell ref="AR10:AR11"/>
    <mergeCell ref="AQ8:AQ9"/>
    <mergeCell ref="AJ10:AJ11"/>
    <mergeCell ref="AK10:AK11"/>
    <mergeCell ref="AO10:AO11"/>
    <mergeCell ref="AP10:AP11"/>
    <mergeCell ref="AQ10:AQ11"/>
    <mergeCell ref="V2:V3"/>
    <mergeCell ref="AQ4:AQ5"/>
    <mergeCell ref="AS2:AY2"/>
    <mergeCell ref="C2:C3"/>
    <mergeCell ref="AJ6:AJ7"/>
    <mergeCell ref="AK6:AK7"/>
    <mergeCell ref="AO6:AO7"/>
    <mergeCell ref="AP6:AP7"/>
    <mergeCell ref="AQ6:AQ7"/>
    <mergeCell ref="AL6:AL7"/>
    <mergeCell ref="AJ4:AJ5"/>
    <mergeCell ref="AK4:AK5"/>
    <mergeCell ref="AO4:AO5"/>
    <mergeCell ref="AP4:AP5"/>
    <mergeCell ref="AG2:AG3"/>
    <mergeCell ref="AH2:AI2"/>
    <mergeCell ref="Q2:Q3"/>
    <mergeCell ref="R2:R3"/>
    <mergeCell ref="S2:S3"/>
    <mergeCell ref="T2:T3"/>
    <mergeCell ref="U2:U3"/>
    <mergeCell ref="BG10:BG11"/>
    <mergeCell ref="BH10:BH11"/>
    <mergeCell ref="A2:A3"/>
    <mergeCell ref="K2:K3"/>
    <mergeCell ref="O2:O3"/>
    <mergeCell ref="P2:P3"/>
    <mergeCell ref="D2:D3"/>
    <mergeCell ref="L2:L3"/>
    <mergeCell ref="BG4:BG5"/>
    <mergeCell ref="BH4:BH5"/>
    <mergeCell ref="W2:W3"/>
    <mergeCell ref="AC2:AC3"/>
    <mergeCell ref="AD2:AD3"/>
    <mergeCell ref="X2:X3"/>
    <mergeCell ref="AA2:AA3"/>
    <mergeCell ref="AE2:AE3"/>
    <mergeCell ref="AH1:BF1"/>
    <mergeCell ref="AZ2:BH2"/>
    <mergeCell ref="BG6:BG7"/>
    <mergeCell ref="BH6:BH7"/>
    <mergeCell ref="BG8:BG9"/>
    <mergeCell ref="BH8:BH9"/>
    <mergeCell ref="AJ8:AJ9"/>
    <mergeCell ref="AK8:AK9"/>
    <mergeCell ref="AO8:AO9"/>
    <mergeCell ref="AP8:AP9"/>
    <mergeCell ref="AJ2:AL2"/>
    <mergeCell ref="AM2:AN2"/>
    <mergeCell ref="AP2:AR2"/>
    <mergeCell ref="AL4:AL5"/>
    <mergeCell ref="AR4:AR5"/>
    <mergeCell ref="AR6:AR7"/>
    <mergeCell ref="Y1:AE1"/>
    <mergeCell ref="Q1:T1"/>
    <mergeCell ref="U1:X1"/>
    <mergeCell ref="AF1:AG1"/>
    <mergeCell ref="D1:P1"/>
  </mergeCells>
  <conditionalFormatting sqref="BC4:BC11">
    <cfRule type="cellIs" dxfId="157" priority="97" operator="equal">
      <formula>"Nada"</formula>
    </cfRule>
  </conditionalFormatting>
  <conditionalFormatting sqref="AS5">
    <cfRule type="cellIs" dxfId="156" priority="96" operator="equal">
      <formula>"Nada"</formula>
    </cfRule>
  </conditionalFormatting>
  <conditionalFormatting sqref="AS4">
    <cfRule type="cellIs" dxfId="155" priority="95" operator="equal">
      <formula>"Nada"</formula>
    </cfRule>
  </conditionalFormatting>
  <conditionalFormatting sqref="AS6">
    <cfRule type="cellIs" dxfId="154" priority="94" operator="equal">
      <formula>"Nada"</formula>
    </cfRule>
  </conditionalFormatting>
  <conditionalFormatting sqref="AS7">
    <cfRule type="cellIs" dxfId="153" priority="93" operator="equal">
      <formula>"Nada"</formula>
    </cfRule>
  </conditionalFormatting>
  <conditionalFormatting sqref="AS8">
    <cfRule type="cellIs" dxfId="152" priority="92" operator="equal">
      <formula>"Nada"</formula>
    </cfRule>
  </conditionalFormatting>
  <conditionalFormatting sqref="AS9">
    <cfRule type="cellIs" dxfId="151" priority="91" operator="equal">
      <formula>"Nada"</formula>
    </cfRule>
  </conditionalFormatting>
  <conditionalFormatting sqref="AS10">
    <cfRule type="cellIs" dxfId="150" priority="90" operator="equal">
      <formula>"Nada"</formula>
    </cfRule>
  </conditionalFormatting>
  <conditionalFormatting sqref="AS11">
    <cfRule type="cellIs" dxfId="149" priority="89" operator="equal">
      <formula>"Nada"</formula>
    </cfRule>
  </conditionalFormatting>
  <conditionalFormatting sqref="AT5">
    <cfRule type="cellIs" dxfId="148" priority="88" operator="equal">
      <formula>"Nada"</formula>
    </cfRule>
  </conditionalFormatting>
  <conditionalFormatting sqref="AT4">
    <cfRule type="cellIs" dxfId="147" priority="87" operator="equal">
      <formula>"Nada"</formula>
    </cfRule>
  </conditionalFormatting>
  <conditionalFormatting sqref="AT6">
    <cfRule type="cellIs" dxfId="146" priority="86" operator="equal">
      <formula>"Nada"</formula>
    </cfRule>
  </conditionalFormatting>
  <conditionalFormatting sqref="AT7">
    <cfRule type="cellIs" dxfId="145" priority="85" operator="equal">
      <formula>"Nada"</formula>
    </cfRule>
  </conditionalFormatting>
  <conditionalFormatting sqref="AT8">
    <cfRule type="cellIs" dxfId="144" priority="84" operator="equal">
      <formula>"Nada"</formula>
    </cfRule>
  </conditionalFormatting>
  <conditionalFormatting sqref="AT9">
    <cfRule type="cellIs" dxfId="143" priority="83" operator="equal">
      <formula>"Nada"</formula>
    </cfRule>
  </conditionalFormatting>
  <conditionalFormatting sqref="AT10">
    <cfRule type="cellIs" dxfId="142" priority="82" operator="equal">
      <formula>"Nada"</formula>
    </cfRule>
  </conditionalFormatting>
  <conditionalFormatting sqref="AT11">
    <cfRule type="cellIs" dxfId="141" priority="81" operator="equal">
      <formula>"Nada"</formula>
    </cfRule>
  </conditionalFormatting>
  <conditionalFormatting sqref="AU5">
    <cfRule type="cellIs" dxfId="140" priority="80" operator="equal">
      <formula>"Nada"</formula>
    </cfRule>
  </conditionalFormatting>
  <conditionalFormatting sqref="AU4">
    <cfRule type="cellIs" dxfId="139" priority="79" operator="equal">
      <formula>"Nada"</formula>
    </cfRule>
  </conditionalFormatting>
  <conditionalFormatting sqref="AU6">
    <cfRule type="cellIs" dxfId="138" priority="78" operator="equal">
      <formula>"Nada"</formula>
    </cfRule>
  </conditionalFormatting>
  <conditionalFormatting sqref="AU7">
    <cfRule type="cellIs" dxfId="137" priority="77" operator="equal">
      <formula>"Nada"</formula>
    </cfRule>
  </conditionalFormatting>
  <conditionalFormatting sqref="AU8">
    <cfRule type="cellIs" dxfId="136" priority="76" operator="equal">
      <formula>"Nada"</formula>
    </cfRule>
  </conditionalFormatting>
  <conditionalFormatting sqref="AU9">
    <cfRule type="cellIs" dxfId="135" priority="75" operator="equal">
      <formula>"Nada"</formula>
    </cfRule>
  </conditionalFormatting>
  <conditionalFormatting sqref="AU10">
    <cfRule type="cellIs" dxfId="134" priority="74" operator="equal">
      <formula>"Nada"</formula>
    </cfRule>
  </conditionalFormatting>
  <conditionalFormatting sqref="AU11">
    <cfRule type="cellIs" dxfId="133" priority="73" operator="equal">
      <formula>"Nada"</formula>
    </cfRule>
  </conditionalFormatting>
  <conditionalFormatting sqref="AW5">
    <cfRule type="cellIs" dxfId="132" priority="72" operator="equal">
      <formula>"Nada"</formula>
    </cfRule>
  </conditionalFormatting>
  <conditionalFormatting sqref="AW4">
    <cfRule type="cellIs" dxfId="131" priority="71" operator="equal">
      <formula>"Nada"</formula>
    </cfRule>
  </conditionalFormatting>
  <conditionalFormatting sqref="AW6">
    <cfRule type="cellIs" dxfId="130" priority="70" operator="equal">
      <formula>"Nada"</formula>
    </cfRule>
  </conditionalFormatting>
  <conditionalFormatting sqref="AW7">
    <cfRule type="cellIs" dxfId="129" priority="69" operator="equal">
      <formula>"Nada"</formula>
    </cfRule>
  </conditionalFormatting>
  <conditionalFormatting sqref="AW8">
    <cfRule type="cellIs" dxfId="128" priority="68" operator="equal">
      <formula>"Nada"</formula>
    </cfRule>
  </conditionalFormatting>
  <conditionalFormatting sqref="AW9">
    <cfRule type="cellIs" dxfId="127" priority="67" operator="equal">
      <formula>"Nada"</formula>
    </cfRule>
  </conditionalFormatting>
  <conditionalFormatting sqref="AW10">
    <cfRule type="cellIs" dxfId="126" priority="66" operator="equal">
      <formula>"Nada"</formula>
    </cfRule>
  </conditionalFormatting>
  <conditionalFormatting sqref="AW11">
    <cfRule type="cellIs" dxfId="125" priority="65" operator="equal">
      <formula>"Nada"</formula>
    </cfRule>
  </conditionalFormatting>
  <conditionalFormatting sqref="AX5">
    <cfRule type="cellIs" dxfId="124" priority="64" operator="equal">
      <formula>"Nada"</formula>
    </cfRule>
  </conditionalFormatting>
  <conditionalFormatting sqref="AX4">
    <cfRule type="cellIs" dxfId="123" priority="63" operator="equal">
      <formula>"Nada"</formula>
    </cfRule>
  </conditionalFormatting>
  <conditionalFormatting sqref="AX6">
    <cfRule type="cellIs" dxfId="122" priority="62" operator="equal">
      <formula>"Nada"</formula>
    </cfRule>
  </conditionalFormatting>
  <conditionalFormatting sqref="AX7">
    <cfRule type="cellIs" dxfId="121" priority="61" operator="equal">
      <formula>"Nada"</formula>
    </cfRule>
  </conditionalFormatting>
  <conditionalFormatting sqref="AX8">
    <cfRule type="cellIs" dxfId="120" priority="60" operator="equal">
      <formula>"Nada"</formula>
    </cfRule>
  </conditionalFormatting>
  <conditionalFormatting sqref="AX9">
    <cfRule type="cellIs" dxfId="119" priority="59" operator="equal">
      <formula>"Nada"</formula>
    </cfRule>
  </conditionalFormatting>
  <conditionalFormatting sqref="AX10">
    <cfRule type="cellIs" dxfId="118" priority="58" operator="equal">
      <formula>"Nada"</formula>
    </cfRule>
  </conditionalFormatting>
  <conditionalFormatting sqref="AX11">
    <cfRule type="cellIs" dxfId="117" priority="57" operator="equal">
      <formula>"Nada"</formula>
    </cfRule>
  </conditionalFormatting>
  <conditionalFormatting sqref="AY5">
    <cfRule type="cellIs" dxfId="116" priority="56" operator="equal">
      <formula>"Nada"</formula>
    </cfRule>
  </conditionalFormatting>
  <conditionalFormatting sqref="AY4">
    <cfRule type="cellIs" dxfId="115" priority="55" operator="equal">
      <formula>"Nada"</formula>
    </cfRule>
  </conditionalFormatting>
  <conditionalFormatting sqref="AY6">
    <cfRule type="cellIs" dxfId="114" priority="54" operator="equal">
      <formula>"Nada"</formula>
    </cfRule>
  </conditionalFormatting>
  <conditionalFormatting sqref="AY7">
    <cfRule type="cellIs" dxfId="113" priority="53" operator="equal">
      <formula>"Nada"</formula>
    </cfRule>
  </conditionalFormatting>
  <conditionalFormatting sqref="AY8">
    <cfRule type="cellIs" dxfId="112" priority="52" operator="equal">
      <formula>"Nada"</formula>
    </cfRule>
  </conditionalFormatting>
  <conditionalFormatting sqref="AY9">
    <cfRule type="cellIs" dxfId="111" priority="51" operator="equal">
      <formula>"Nada"</formula>
    </cfRule>
  </conditionalFormatting>
  <conditionalFormatting sqref="AY10">
    <cfRule type="cellIs" dxfId="110" priority="50" operator="equal">
      <formula>"Nada"</formula>
    </cfRule>
  </conditionalFormatting>
  <conditionalFormatting sqref="AY11">
    <cfRule type="cellIs" dxfId="109" priority="49" operator="equal">
      <formula>"Nada"</formula>
    </cfRule>
  </conditionalFormatting>
  <conditionalFormatting sqref="AZ5">
    <cfRule type="cellIs" dxfId="108" priority="48" operator="equal">
      <formula>"Nada"</formula>
    </cfRule>
  </conditionalFormatting>
  <conditionalFormatting sqref="AZ4">
    <cfRule type="cellIs" dxfId="107" priority="47" operator="equal">
      <formula>"Nada"</formula>
    </cfRule>
  </conditionalFormatting>
  <conditionalFormatting sqref="AZ6">
    <cfRule type="cellIs" dxfId="106" priority="46" operator="equal">
      <formula>"Nada"</formula>
    </cfRule>
  </conditionalFormatting>
  <conditionalFormatting sqref="AZ7">
    <cfRule type="cellIs" dxfId="105" priority="45" operator="equal">
      <formula>"Nada"</formula>
    </cfRule>
  </conditionalFormatting>
  <conditionalFormatting sqref="AZ8">
    <cfRule type="cellIs" dxfId="104" priority="44" operator="equal">
      <formula>"Nada"</formula>
    </cfRule>
  </conditionalFormatting>
  <conditionalFormatting sqref="AZ9">
    <cfRule type="cellIs" dxfId="103" priority="43" operator="equal">
      <formula>"Nada"</formula>
    </cfRule>
  </conditionalFormatting>
  <conditionalFormatting sqref="AZ10">
    <cfRule type="cellIs" dxfId="102" priority="42" operator="equal">
      <formula>"Nada"</formula>
    </cfRule>
  </conditionalFormatting>
  <conditionalFormatting sqref="AZ11">
    <cfRule type="cellIs" dxfId="101" priority="41" operator="equal">
      <formula>"Nada"</formula>
    </cfRule>
  </conditionalFormatting>
  <conditionalFormatting sqref="BA5">
    <cfRule type="cellIs" dxfId="100" priority="40" operator="equal">
      <formula>"Nada"</formula>
    </cfRule>
  </conditionalFormatting>
  <conditionalFormatting sqref="BA4">
    <cfRule type="cellIs" dxfId="99" priority="39" operator="equal">
      <formula>"Nada"</formula>
    </cfRule>
  </conditionalFormatting>
  <conditionalFormatting sqref="BA6">
    <cfRule type="cellIs" dxfId="98" priority="38" operator="equal">
      <formula>"Nada"</formula>
    </cfRule>
  </conditionalFormatting>
  <conditionalFormatting sqref="BA7">
    <cfRule type="cellIs" dxfId="97" priority="37" operator="equal">
      <formula>"Nada"</formula>
    </cfRule>
  </conditionalFormatting>
  <conditionalFormatting sqref="BA8">
    <cfRule type="cellIs" dxfId="96" priority="36" operator="equal">
      <formula>"Nada"</formula>
    </cfRule>
  </conditionalFormatting>
  <conditionalFormatting sqref="BA9">
    <cfRule type="cellIs" dxfId="95" priority="35" operator="equal">
      <formula>"Nada"</formula>
    </cfRule>
  </conditionalFormatting>
  <conditionalFormatting sqref="BA10">
    <cfRule type="cellIs" dxfId="94" priority="34" operator="equal">
      <formula>"Nada"</formula>
    </cfRule>
  </conditionalFormatting>
  <conditionalFormatting sqref="BA11">
    <cfRule type="cellIs" dxfId="93" priority="33" operator="equal">
      <formula>"Nada"</formula>
    </cfRule>
  </conditionalFormatting>
  <conditionalFormatting sqref="BB5">
    <cfRule type="cellIs" dxfId="92" priority="32" operator="equal">
      <formula>"Nada"</formula>
    </cfRule>
  </conditionalFormatting>
  <conditionalFormatting sqref="BB4">
    <cfRule type="cellIs" dxfId="91" priority="31" operator="equal">
      <formula>"Nada"</formula>
    </cfRule>
  </conditionalFormatting>
  <conditionalFormatting sqref="BB6">
    <cfRule type="cellIs" dxfId="90" priority="30" operator="equal">
      <formula>"Nada"</formula>
    </cfRule>
  </conditionalFormatting>
  <conditionalFormatting sqref="BB7">
    <cfRule type="cellIs" dxfId="89" priority="29" operator="equal">
      <formula>"Nada"</formula>
    </cfRule>
  </conditionalFormatting>
  <conditionalFormatting sqref="BB8">
    <cfRule type="cellIs" dxfId="88" priority="28" operator="equal">
      <formula>"Nada"</formula>
    </cfRule>
  </conditionalFormatting>
  <conditionalFormatting sqref="BB9">
    <cfRule type="cellIs" dxfId="87" priority="27" operator="equal">
      <formula>"Nada"</formula>
    </cfRule>
  </conditionalFormatting>
  <conditionalFormatting sqref="BB10">
    <cfRule type="cellIs" dxfId="86" priority="26" operator="equal">
      <formula>"Nada"</formula>
    </cfRule>
  </conditionalFormatting>
  <conditionalFormatting sqref="BB11">
    <cfRule type="cellIs" dxfId="85" priority="25" operator="equal">
      <formula>"Nada"</formula>
    </cfRule>
  </conditionalFormatting>
  <conditionalFormatting sqref="BD5">
    <cfRule type="cellIs" dxfId="84" priority="24" operator="equal">
      <formula>"Nada"</formula>
    </cfRule>
  </conditionalFormatting>
  <conditionalFormatting sqref="BD4">
    <cfRule type="cellIs" dxfId="83" priority="23" operator="equal">
      <formula>"Nada"</formula>
    </cfRule>
  </conditionalFormatting>
  <conditionalFormatting sqref="BD6">
    <cfRule type="cellIs" dxfId="82" priority="22" operator="equal">
      <formula>"Nada"</formula>
    </cfRule>
  </conditionalFormatting>
  <conditionalFormatting sqref="BD7">
    <cfRule type="cellIs" dxfId="81" priority="21" operator="equal">
      <formula>"Nada"</formula>
    </cfRule>
  </conditionalFormatting>
  <conditionalFormatting sqref="BD8">
    <cfRule type="cellIs" dxfId="80" priority="20" operator="equal">
      <formula>"Nada"</formula>
    </cfRule>
  </conditionalFormatting>
  <conditionalFormatting sqref="BD9">
    <cfRule type="cellIs" dxfId="79" priority="19" operator="equal">
      <formula>"Nada"</formula>
    </cfRule>
  </conditionalFormatting>
  <conditionalFormatting sqref="BD10">
    <cfRule type="cellIs" dxfId="78" priority="18" operator="equal">
      <formula>"Nada"</formula>
    </cfRule>
  </conditionalFormatting>
  <conditionalFormatting sqref="BD11">
    <cfRule type="cellIs" dxfId="77" priority="17" operator="equal">
      <formula>"Nada"</formula>
    </cfRule>
  </conditionalFormatting>
  <conditionalFormatting sqref="BE5">
    <cfRule type="cellIs" dxfId="76" priority="16" operator="equal">
      <formula>"Nada"</formula>
    </cfRule>
  </conditionalFormatting>
  <conditionalFormatting sqref="BE4">
    <cfRule type="cellIs" dxfId="75" priority="15" operator="equal">
      <formula>"Nada"</formula>
    </cfRule>
  </conditionalFormatting>
  <conditionalFormatting sqref="BE6">
    <cfRule type="cellIs" dxfId="74" priority="14" operator="equal">
      <formula>"Nada"</formula>
    </cfRule>
  </conditionalFormatting>
  <conditionalFormatting sqref="BE7">
    <cfRule type="cellIs" dxfId="73" priority="13" operator="equal">
      <formula>"Nada"</formula>
    </cfRule>
  </conditionalFormatting>
  <conditionalFormatting sqref="BE8">
    <cfRule type="cellIs" dxfId="72" priority="12" operator="equal">
      <formula>"Nada"</formula>
    </cfRule>
  </conditionalFormatting>
  <conditionalFormatting sqref="BE9">
    <cfRule type="cellIs" dxfId="71" priority="11" operator="equal">
      <formula>"Nada"</formula>
    </cfRule>
  </conditionalFormatting>
  <conditionalFormatting sqref="BE10">
    <cfRule type="cellIs" dxfId="70" priority="10" operator="equal">
      <formula>"Nada"</formula>
    </cfRule>
  </conditionalFormatting>
  <conditionalFormatting sqref="BE11">
    <cfRule type="cellIs" dxfId="69" priority="9" operator="equal">
      <formula>"Nada"</formula>
    </cfRule>
  </conditionalFormatting>
  <conditionalFormatting sqref="BF5">
    <cfRule type="cellIs" dxfId="68" priority="8" operator="equal">
      <formula>"Nada"</formula>
    </cfRule>
  </conditionalFormatting>
  <conditionalFormatting sqref="BF4">
    <cfRule type="cellIs" dxfId="67" priority="7" operator="equal">
      <formula>"Nada"</formula>
    </cfRule>
  </conditionalFormatting>
  <conditionalFormatting sqref="BF6">
    <cfRule type="cellIs" dxfId="66" priority="6" operator="equal">
      <formula>"Nada"</formula>
    </cfRule>
  </conditionalFormatting>
  <conditionalFormatting sqref="BF7">
    <cfRule type="cellIs" dxfId="65" priority="5" operator="equal">
      <formula>"Nada"</formula>
    </cfRule>
  </conditionalFormatting>
  <conditionalFormatting sqref="BF8">
    <cfRule type="cellIs" dxfId="64" priority="4" operator="equal">
      <formula>"Nada"</formula>
    </cfRule>
  </conditionalFormatting>
  <conditionalFormatting sqref="BF9">
    <cfRule type="cellIs" dxfId="63" priority="3" operator="equal">
      <formula>"Nada"</formula>
    </cfRule>
  </conditionalFormatting>
  <conditionalFormatting sqref="BF10">
    <cfRule type="cellIs" dxfId="62" priority="2" operator="equal">
      <formula>"Nada"</formula>
    </cfRule>
  </conditionalFormatting>
  <conditionalFormatting sqref="BF11">
    <cfRule type="cellIs" dxfId="61" priority="1" operator="equal">
      <formula>"Nada"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A0F3-E618-464E-8F06-4073A7409449}">
  <dimension ref="A1:Z32"/>
  <sheetViews>
    <sheetView workbookViewId="0">
      <selection activeCell="Q9" sqref="Q9"/>
    </sheetView>
  </sheetViews>
  <sheetFormatPr baseColWidth="10" defaultRowHeight="15" x14ac:dyDescent="0.25"/>
  <cols>
    <col min="2" max="2" width="8" bestFit="1" customWidth="1"/>
    <col min="3" max="3" width="5.5703125" bestFit="1" customWidth="1"/>
    <col min="4" max="4" width="10.5703125" bestFit="1" customWidth="1"/>
    <col min="5" max="5" width="7.7109375" bestFit="1" customWidth="1"/>
    <col min="6" max="6" width="3" customWidth="1"/>
    <col min="7" max="7" width="8" bestFit="1" customWidth="1"/>
    <col min="8" max="8" width="5.5703125" bestFit="1" customWidth="1"/>
    <col min="9" max="9" width="10.5703125" bestFit="1" customWidth="1"/>
    <col min="10" max="10" width="7.7109375" bestFit="1" customWidth="1"/>
  </cols>
  <sheetData>
    <row r="1" spans="1:26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1:26" x14ac:dyDescent="0.25">
      <c r="A2" s="175"/>
      <c r="B2" s="359"/>
      <c r="C2" s="359"/>
      <c r="D2" s="359"/>
      <c r="E2" s="359"/>
      <c r="F2" s="359"/>
      <c r="G2" s="359"/>
      <c r="H2" s="359"/>
      <c r="I2" s="359"/>
      <c r="J2" s="359"/>
      <c r="K2" s="175"/>
      <c r="L2" s="175"/>
    </row>
    <row r="3" spans="1:26" x14ac:dyDescent="0.25">
      <c r="A3" s="175"/>
      <c r="B3" s="355" t="s">
        <v>276</v>
      </c>
      <c r="C3" s="355"/>
      <c r="D3" s="355"/>
      <c r="E3" s="355"/>
      <c r="F3" s="355"/>
      <c r="G3" s="355"/>
      <c r="H3" s="355"/>
      <c r="I3" s="355"/>
      <c r="J3" s="355"/>
      <c r="K3" s="175"/>
      <c r="L3" s="175"/>
    </row>
    <row r="4" spans="1:26" x14ac:dyDescent="0.25">
      <c r="A4" s="175"/>
      <c r="B4" s="354" t="s">
        <v>274</v>
      </c>
      <c r="C4" s="354"/>
      <c r="D4" s="354"/>
      <c r="E4" s="354"/>
      <c r="F4" s="240"/>
      <c r="G4" s="354" t="s">
        <v>275</v>
      </c>
      <c r="H4" s="354"/>
      <c r="I4" s="354"/>
      <c r="J4" s="354"/>
      <c r="K4" s="175"/>
      <c r="L4" s="175"/>
    </row>
    <row r="5" spans="1:26" x14ac:dyDescent="0.25">
      <c r="A5" s="175"/>
      <c r="B5" s="237" t="s">
        <v>244</v>
      </c>
      <c r="C5" s="237" t="s">
        <v>17</v>
      </c>
      <c r="D5" s="237" t="s">
        <v>232</v>
      </c>
      <c r="E5" s="237" t="s">
        <v>233</v>
      </c>
      <c r="F5" s="240"/>
      <c r="G5" s="237" t="s">
        <v>244</v>
      </c>
      <c r="H5" s="237" t="s">
        <v>17</v>
      </c>
      <c r="I5" s="237" t="s">
        <v>232</v>
      </c>
      <c r="J5" s="237" t="s">
        <v>233</v>
      </c>
      <c r="K5" s="175"/>
      <c r="L5" s="175"/>
    </row>
    <row r="6" spans="1:26" x14ac:dyDescent="0.25">
      <c r="A6" s="175"/>
      <c r="B6" s="237">
        <v>1</v>
      </c>
      <c r="C6" s="239">
        <v>27</v>
      </c>
      <c r="D6" s="238">
        <v>1.425</v>
      </c>
      <c r="E6" s="238">
        <v>8.5499999999999989</v>
      </c>
      <c r="F6" s="240"/>
      <c r="G6" s="237">
        <v>1</v>
      </c>
      <c r="H6" s="239">
        <v>23.69</v>
      </c>
      <c r="I6" s="238">
        <v>1.2503055555555558</v>
      </c>
      <c r="J6" s="238">
        <v>7.501833333333332</v>
      </c>
      <c r="K6" s="175"/>
      <c r="L6" s="175"/>
    </row>
    <row r="7" spans="1:26" x14ac:dyDescent="0.25">
      <c r="A7" s="175"/>
      <c r="B7" s="237">
        <v>2</v>
      </c>
      <c r="C7" s="239">
        <v>20.894650354002877</v>
      </c>
      <c r="D7" s="238">
        <v>1.1027732131279298</v>
      </c>
      <c r="E7" s="238">
        <v>6.6166392787675763</v>
      </c>
      <c r="F7" s="240"/>
      <c r="G7" s="237">
        <v>2</v>
      </c>
      <c r="H7" s="239">
        <v>20.72</v>
      </c>
      <c r="I7" s="238">
        <v>1.0935555555555556</v>
      </c>
      <c r="J7" s="238">
        <v>6.5613333333333319</v>
      </c>
      <c r="K7" s="175"/>
      <c r="L7" s="175"/>
      <c r="S7" s="268" t="s">
        <v>276</v>
      </c>
      <c r="T7" s="268"/>
      <c r="U7" s="268"/>
      <c r="V7" s="268"/>
      <c r="W7" s="268"/>
      <c r="X7" s="268"/>
      <c r="Y7" s="268"/>
      <c r="Z7" s="268"/>
    </row>
    <row r="8" spans="1:26" x14ac:dyDescent="0.25">
      <c r="A8" s="175"/>
      <c r="B8" s="237">
        <v>3</v>
      </c>
      <c r="C8" s="239">
        <v>19.930215774072259</v>
      </c>
      <c r="D8" s="238">
        <v>1.0518724991871471</v>
      </c>
      <c r="E8" s="238">
        <v>6.3112349951228817</v>
      </c>
      <c r="F8" s="240"/>
      <c r="G8" s="237">
        <v>3</v>
      </c>
      <c r="H8" s="239">
        <v>17.39</v>
      </c>
      <c r="I8" s="238">
        <v>0.91780555555555565</v>
      </c>
      <c r="J8" s="238">
        <v>5.5068333333333328</v>
      </c>
      <c r="K8" s="175"/>
      <c r="L8" s="175"/>
    </row>
    <row r="9" spans="1:26" x14ac:dyDescent="0.25">
      <c r="A9" s="175"/>
      <c r="B9" s="237">
        <v>4</v>
      </c>
      <c r="C9" s="239">
        <v>19.732536364573527</v>
      </c>
      <c r="D9" s="238">
        <v>1.0414394192413807</v>
      </c>
      <c r="E9" s="238">
        <v>6.2486365154482826</v>
      </c>
      <c r="F9" s="240"/>
      <c r="G9" s="237">
        <v>4</v>
      </c>
      <c r="H9" s="239">
        <v>16.899999999999999</v>
      </c>
      <c r="I9" s="238">
        <v>0.89194444444444454</v>
      </c>
      <c r="J9" s="238">
        <v>5.3516666666666657</v>
      </c>
      <c r="K9" s="175"/>
      <c r="L9" s="175"/>
      <c r="S9" s="356" t="s">
        <v>274</v>
      </c>
      <c r="T9" s="357"/>
      <c r="U9" s="357"/>
      <c r="V9" s="358"/>
      <c r="W9" s="199"/>
      <c r="X9" s="356" t="s">
        <v>275</v>
      </c>
      <c r="Y9" s="357"/>
      <c r="Z9" s="358"/>
    </row>
    <row r="10" spans="1:26" x14ac:dyDescent="0.25">
      <c r="A10" s="175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S10" s="176" t="s">
        <v>244</v>
      </c>
      <c r="T10" s="176" t="s">
        <v>17</v>
      </c>
      <c r="U10" s="176" t="s">
        <v>232</v>
      </c>
      <c r="V10" s="176" t="s">
        <v>233</v>
      </c>
      <c r="W10" s="199"/>
      <c r="X10" s="176" t="s">
        <v>17</v>
      </c>
      <c r="Y10" s="176" t="s">
        <v>232</v>
      </c>
      <c r="Z10" s="176" t="s">
        <v>233</v>
      </c>
    </row>
    <row r="11" spans="1:26" x14ac:dyDescent="0.25">
      <c r="A11" s="175"/>
      <c r="B11" s="360" t="s">
        <v>277</v>
      </c>
      <c r="C11" s="360"/>
      <c r="D11" s="360"/>
      <c r="E11" s="360"/>
      <c r="F11" s="360"/>
      <c r="G11" s="360"/>
      <c r="H11" s="360"/>
      <c r="I11" s="360"/>
      <c r="J11" s="360"/>
      <c r="K11" s="175"/>
      <c r="L11" s="175"/>
      <c r="S11" s="176">
        <v>1</v>
      </c>
      <c r="T11" s="3">
        <v>27</v>
      </c>
      <c r="U11" s="176">
        <v>1.425</v>
      </c>
      <c r="V11" s="176">
        <v>8.5499999999999989</v>
      </c>
      <c r="W11" s="199"/>
      <c r="X11" s="3">
        <v>23.69</v>
      </c>
      <c r="Y11" s="176">
        <v>1.2503055555555558</v>
      </c>
      <c r="Z11" s="176">
        <v>7.501833333333332</v>
      </c>
    </row>
    <row r="12" spans="1:26" x14ac:dyDescent="0.25">
      <c r="A12" s="175"/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S12" s="176">
        <v>2</v>
      </c>
      <c r="T12" s="3">
        <v>20.894650354002877</v>
      </c>
      <c r="U12" s="176">
        <v>1.1027732131279298</v>
      </c>
      <c r="V12" s="176">
        <v>6.6166392787675763</v>
      </c>
      <c r="W12" s="199"/>
      <c r="X12" s="3">
        <v>20.72</v>
      </c>
      <c r="Y12" s="176">
        <v>1.0935555555555556</v>
      </c>
      <c r="Z12" s="176">
        <v>6.5613333333333319</v>
      </c>
    </row>
    <row r="13" spans="1:26" x14ac:dyDescent="0.25">
      <c r="A13" s="175"/>
      <c r="B13" s="351" t="s">
        <v>274</v>
      </c>
      <c r="C13" s="352"/>
      <c r="D13" s="352"/>
      <c r="E13" s="353"/>
      <c r="F13" s="236"/>
      <c r="G13" s="351" t="s">
        <v>275</v>
      </c>
      <c r="H13" s="352"/>
      <c r="I13" s="352"/>
      <c r="J13" s="353"/>
      <c r="K13" s="175"/>
      <c r="L13" s="175"/>
      <c r="S13" s="176">
        <v>3</v>
      </c>
      <c r="T13" s="3">
        <v>19.930215774072259</v>
      </c>
      <c r="U13" s="176">
        <v>1.0518724991871471</v>
      </c>
      <c r="V13" s="176">
        <v>6.3112349951228817</v>
      </c>
      <c r="W13" s="199"/>
      <c r="X13" s="3">
        <v>17.39</v>
      </c>
      <c r="Y13" s="176">
        <v>0.91780555555555565</v>
      </c>
      <c r="Z13" s="176">
        <v>5.5068333333333328</v>
      </c>
    </row>
    <row r="14" spans="1:26" x14ac:dyDescent="0.25">
      <c r="A14" s="175"/>
      <c r="B14" s="237" t="s">
        <v>244</v>
      </c>
      <c r="C14" s="237" t="s">
        <v>17</v>
      </c>
      <c r="D14" s="237" t="s">
        <v>232</v>
      </c>
      <c r="E14" s="237" t="s">
        <v>233</v>
      </c>
      <c r="F14" s="236"/>
      <c r="G14" s="237" t="s">
        <v>244</v>
      </c>
      <c r="H14" s="237" t="s">
        <v>17</v>
      </c>
      <c r="I14" s="237" t="s">
        <v>232</v>
      </c>
      <c r="J14" s="237" t="s">
        <v>233</v>
      </c>
      <c r="K14" s="175"/>
      <c r="L14" s="175"/>
      <c r="S14" s="176">
        <v>4</v>
      </c>
      <c r="T14" s="3">
        <v>19.732536364573527</v>
      </c>
      <c r="U14" s="176">
        <v>1.0414394192413807</v>
      </c>
      <c r="V14" s="176">
        <v>6.2486365154482826</v>
      </c>
      <c r="W14" s="199"/>
      <c r="X14" s="3">
        <v>16.899999999999999</v>
      </c>
      <c r="Y14" s="176">
        <v>0.89194444444444454</v>
      </c>
      <c r="Z14" s="176">
        <v>5.3516666666666657</v>
      </c>
    </row>
    <row r="15" spans="1:26" x14ac:dyDescent="0.25">
      <c r="A15" s="175"/>
      <c r="B15" s="237">
        <v>1</v>
      </c>
      <c r="C15" s="239">
        <v>27</v>
      </c>
      <c r="D15" s="234">
        <v>3.5625000000000004</v>
      </c>
      <c r="E15" s="234">
        <v>7.1249999999999991</v>
      </c>
      <c r="F15" s="236"/>
      <c r="G15" s="237">
        <v>1</v>
      </c>
      <c r="H15" s="239">
        <v>23.69</v>
      </c>
      <c r="I15" s="235">
        <v>3.7015625000000005</v>
      </c>
      <c r="J15" s="235">
        <v>7.4031249999999993</v>
      </c>
      <c r="K15" s="175"/>
      <c r="L15" s="175"/>
    </row>
    <row r="16" spans="1:26" x14ac:dyDescent="0.25">
      <c r="A16" s="175"/>
      <c r="B16" s="237">
        <v>2</v>
      </c>
      <c r="C16" s="239">
        <v>20.894650354002877</v>
      </c>
      <c r="D16" s="234">
        <v>3.2647891178129496</v>
      </c>
      <c r="E16" s="234">
        <v>6.5295782356258982</v>
      </c>
      <c r="F16" s="236"/>
      <c r="G16" s="237">
        <v>2</v>
      </c>
      <c r="H16" s="239">
        <v>20.72</v>
      </c>
      <c r="I16" s="235">
        <v>3.2374999999999998</v>
      </c>
      <c r="J16" s="235">
        <v>6.4749999999999988</v>
      </c>
      <c r="K16" s="175"/>
      <c r="L16" s="175"/>
      <c r="S16" s="268" t="s">
        <v>277</v>
      </c>
      <c r="T16" s="268"/>
      <c r="U16" s="268"/>
      <c r="V16" s="268"/>
      <c r="W16" s="268"/>
      <c r="X16" s="268"/>
      <c r="Y16" s="268"/>
      <c r="Z16" s="268"/>
    </row>
    <row r="17" spans="1:26" x14ac:dyDescent="0.25">
      <c r="A17" s="175"/>
      <c r="B17" s="237">
        <v>3</v>
      </c>
      <c r="C17" s="239">
        <v>19.930215774072259</v>
      </c>
      <c r="D17" s="234">
        <v>3.1140962146987907</v>
      </c>
      <c r="E17" s="234">
        <v>6.2281924293975797</v>
      </c>
      <c r="F17" s="236"/>
      <c r="G17" s="237">
        <v>3</v>
      </c>
      <c r="H17" s="239">
        <v>17.39</v>
      </c>
      <c r="I17" s="235">
        <v>2.7171875000000001</v>
      </c>
      <c r="J17" s="235">
        <v>5.4343749999999993</v>
      </c>
      <c r="K17" s="175"/>
      <c r="L17" s="175"/>
    </row>
    <row r="18" spans="1:26" x14ac:dyDescent="0.25">
      <c r="A18" s="175"/>
      <c r="B18" s="237">
        <v>4</v>
      </c>
      <c r="C18" s="239">
        <v>19.732536364573527</v>
      </c>
      <c r="D18" s="234">
        <v>3.0832088069646137</v>
      </c>
      <c r="E18" s="234">
        <v>6.1664176139292257</v>
      </c>
      <c r="F18" s="236"/>
      <c r="G18" s="237">
        <v>4</v>
      </c>
      <c r="H18" s="239">
        <v>16.899999999999999</v>
      </c>
      <c r="I18" s="235">
        <v>2.640625</v>
      </c>
      <c r="J18" s="235">
        <v>5.2812499999999991</v>
      </c>
      <c r="K18" s="175"/>
      <c r="L18" s="175"/>
      <c r="S18" s="356" t="s">
        <v>274</v>
      </c>
      <c r="T18" s="357"/>
      <c r="U18" s="357"/>
      <c r="V18" s="358"/>
      <c r="W18" s="199"/>
      <c r="X18" s="356" t="s">
        <v>275</v>
      </c>
      <c r="Y18" s="357"/>
      <c r="Z18" s="358"/>
    </row>
    <row r="19" spans="1:26" x14ac:dyDescent="0.25">
      <c r="A19" s="175"/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S19" s="176" t="s">
        <v>244</v>
      </c>
      <c r="T19" s="176" t="s">
        <v>17</v>
      </c>
      <c r="U19" s="176" t="s">
        <v>232</v>
      </c>
      <c r="V19" s="176" t="s">
        <v>233</v>
      </c>
      <c r="W19" s="199"/>
      <c r="X19" s="176" t="s">
        <v>17</v>
      </c>
      <c r="Y19" s="176" t="s">
        <v>232</v>
      </c>
      <c r="Z19" s="176" t="s">
        <v>233</v>
      </c>
    </row>
    <row r="20" spans="1:26" x14ac:dyDescent="0.25">
      <c r="A20" s="175"/>
      <c r="B20" s="360" t="s">
        <v>278</v>
      </c>
      <c r="C20" s="360"/>
      <c r="D20" s="360"/>
      <c r="E20" s="360"/>
      <c r="F20" s="360"/>
      <c r="G20" s="360"/>
      <c r="H20" s="360"/>
      <c r="I20" s="360"/>
      <c r="J20" s="360"/>
      <c r="K20" s="175"/>
      <c r="L20" s="175"/>
      <c r="S20" s="176">
        <v>1</v>
      </c>
      <c r="T20" s="3">
        <v>27</v>
      </c>
      <c r="U20" s="176">
        <v>1.425</v>
      </c>
      <c r="V20" s="176">
        <v>8.5499999999999989</v>
      </c>
      <c r="W20" s="199"/>
      <c r="X20" s="3">
        <v>23.69</v>
      </c>
      <c r="Y20" s="176">
        <v>1.2503055555555558</v>
      </c>
      <c r="Z20" s="176">
        <v>7.501833333333332</v>
      </c>
    </row>
    <row r="21" spans="1:26" x14ac:dyDescent="0.25">
      <c r="A21" s="175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S21" s="176">
        <v>2</v>
      </c>
      <c r="T21" s="3">
        <v>20.894650354002877</v>
      </c>
      <c r="U21" s="176">
        <v>1.1027732131279298</v>
      </c>
      <c r="V21" s="176">
        <v>6.6166392787675763</v>
      </c>
      <c r="W21" s="199"/>
      <c r="X21" s="3">
        <v>20.72</v>
      </c>
      <c r="Y21" s="176">
        <v>1.0935555555555556</v>
      </c>
      <c r="Z21" s="176">
        <v>6.5613333333333319</v>
      </c>
    </row>
    <row r="22" spans="1:26" x14ac:dyDescent="0.25">
      <c r="A22" s="175"/>
      <c r="B22" s="351" t="s">
        <v>274</v>
      </c>
      <c r="C22" s="352"/>
      <c r="D22" s="352"/>
      <c r="E22" s="353"/>
      <c r="F22" s="236"/>
      <c r="G22" s="351" t="s">
        <v>275</v>
      </c>
      <c r="H22" s="352"/>
      <c r="I22" s="352"/>
      <c r="J22" s="353"/>
      <c r="K22" s="175"/>
      <c r="L22" s="175"/>
      <c r="S22" s="176">
        <v>3</v>
      </c>
      <c r="T22" s="3">
        <v>19.930215774072259</v>
      </c>
      <c r="U22" s="176">
        <v>1.0518724991871471</v>
      </c>
      <c r="V22" s="176">
        <v>6.3112349951228817</v>
      </c>
      <c r="W22" s="199"/>
      <c r="X22" s="3">
        <v>17.39</v>
      </c>
      <c r="Y22" s="176">
        <v>0.91780555555555565</v>
      </c>
      <c r="Z22" s="176">
        <v>5.5068333333333328</v>
      </c>
    </row>
    <row r="23" spans="1:26" x14ac:dyDescent="0.25">
      <c r="A23" s="175"/>
      <c r="B23" s="237" t="s">
        <v>244</v>
      </c>
      <c r="C23" s="237" t="s">
        <v>17</v>
      </c>
      <c r="D23" s="237" t="s">
        <v>232</v>
      </c>
      <c r="E23" s="237" t="s">
        <v>233</v>
      </c>
      <c r="F23" s="236"/>
      <c r="G23" s="237" t="s">
        <v>244</v>
      </c>
      <c r="H23" s="237" t="s">
        <v>17</v>
      </c>
      <c r="I23" s="237" t="s">
        <v>232</v>
      </c>
      <c r="J23" s="237" t="s">
        <v>233</v>
      </c>
      <c r="K23" s="175"/>
      <c r="L23" s="175"/>
      <c r="S23" s="176">
        <v>4</v>
      </c>
      <c r="T23" s="3">
        <v>19.732536364573527</v>
      </c>
      <c r="U23" s="176">
        <v>1.0414394192413807</v>
      </c>
      <c r="V23" s="176">
        <v>6.2486365154482826</v>
      </c>
      <c r="W23" s="199"/>
      <c r="X23" s="3">
        <v>16.899999999999999</v>
      </c>
      <c r="Y23" s="176">
        <v>0.89194444444444454</v>
      </c>
      <c r="Z23" s="176">
        <v>5.3516666666666657</v>
      </c>
    </row>
    <row r="24" spans="1:26" x14ac:dyDescent="0.25">
      <c r="A24" s="175"/>
      <c r="B24" s="237">
        <v>1</v>
      </c>
      <c r="C24" s="239">
        <v>27</v>
      </c>
      <c r="D24" s="235">
        <v>10.687499999999998</v>
      </c>
      <c r="E24" s="235">
        <v>7.1249999999999991</v>
      </c>
      <c r="F24" s="236"/>
      <c r="G24" s="237">
        <v>1</v>
      </c>
      <c r="H24" s="239">
        <v>23.69</v>
      </c>
      <c r="I24" s="235">
        <v>11.104687499999999</v>
      </c>
      <c r="J24" s="235">
        <v>7.4031249999999993</v>
      </c>
      <c r="K24" s="175"/>
      <c r="L24" s="175"/>
    </row>
    <row r="25" spans="1:26" x14ac:dyDescent="0.25">
      <c r="A25" s="175"/>
      <c r="B25" s="237">
        <v>2</v>
      </c>
      <c r="C25" s="239">
        <v>20.894650354002877</v>
      </c>
      <c r="D25" s="235">
        <v>9.7943673534388473</v>
      </c>
      <c r="E25" s="235">
        <v>6.5295782356258982</v>
      </c>
      <c r="F25" s="236"/>
      <c r="G25" s="237">
        <v>2</v>
      </c>
      <c r="H25" s="239">
        <v>20.72</v>
      </c>
      <c r="I25" s="235">
        <v>9.7125000000000004</v>
      </c>
      <c r="J25" s="235">
        <v>6.4749999999999988</v>
      </c>
      <c r="K25" s="175"/>
      <c r="L25" s="175"/>
      <c r="S25" s="268" t="s">
        <v>278</v>
      </c>
      <c r="T25" s="268"/>
      <c r="U25" s="268"/>
      <c r="V25" s="268"/>
      <c r="W25" s="268"/>
      <c r="X25" s="268"/>
      <c r="Y25" s="268"/>
      <c r="Z25" s="268"/>
    </row>
    <row r="26" spans="1:26" x14ac:dyDescent="0.25">
      <c r="A26" s="175"/>
      <c r="B26" s="237">
        <v>3</v>
      </c>
      <c r="C26" s="239">
        <v>19.930215774072259</v>
      </c>
      <c r="D26" s="235">
        <v>9.3422886440963691</v>
      </c>
      <c r="E26" s="235">
        <v>6.2281924293975797</v>
      </c>
      <c r="F26" s="236"/>
      <c r="G26" s="237">
        <v>3</v>
      </c>
      <c r="H26" s="239">
        <v>17.39</v>
      </c>
      <c r="I26" s="235">
        <v>8.1515624999999989</v>
      </c>
      <c r="J26" s="235">
        <v>5.4343749999999993</v>
      </c>
      <c r="K26" s="175"/>
      <c r="L26" s="175"/>
    </row>
    <row r="27" spans="1:26" x14ac:dyDescent="0.25">
      <c r="A27" s="175"/>
      <c r="B27" s="237">
        <v>4</v>
      </c>
      <c r="C27" s="239">
        <v>19.732536364573527</v>
      </c>
      <c r="D27" s="235">
        <v>9.2496264208938381</v>
      </c>
      <c r="E27" s="235">
        <v>6.1664176139292257</v>
      </c>
      <c r="F27" s="236"/>
      <c r="G27" s="237">
        <v>4</v>
      </c>
      <c r="H27" s="239">
        <v>16.899999999999999</v>
      </c>
      <c r="I27" s="235">
        <v>7.9218749999999982</v>
      </c>
      <c r="J27" s="235">
        <v>5.2812499999999991</v>
      </c>
      <c r="K27" s="175"/>
      <c r="L27" s="175"/>
      <c r="S27" s="356" t="s">
        <v>274</v>
      </c>
      <c r="T27" s="357"/>
      <c r="U27" s="357"/>
      <c r="V27" s="358"/>
      <c r="W27" s="199"/>
      <c r="X27" s="356" t="s">
        <v>275</v>
      </c>
      <c r="Y27" s="357"/>
      <c r="Z27" s="358"/>
    </row>
    <row r="28" spans="1:26" x14ac:dyDescent="0.25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S28" s="176" t="s">
        <v>244</v>
      </c>
      <c r="T28" s="176" t="s">
        <v>17</v>
      </c>
      <c r="U28" s="176" t="s">
        <v>232</v>
      </c>
      <c r="V28" s="176" t="s">
        <v>233</v>
      </c>
      <c r="W28" s="199"/>
      <c r="X28" s="176" t="s">
        <v>17</v>
      </c>
      <c r="Y28" s="176" t="s">
        <v>232</v>
      </c>
      <c r="Z28" s="176" t="s">
        <v>233</v>
      </c>
    </row>
    <row r="29" spans="1:26" x14ac:dyDescent="0.25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S29" s="176">
        <v>1</v>
      </c>
      <c r="T29" s="3">
        <v>27</v>
      </c>
      <c r="U29" s="176">
        <v>1.425</v>
      </c>
      <c r="V29" s="176">
        <v>8.5499999999999989</v>
      </c>
      <c r="W29" s="199"/>
      <c r="X29" s="3">
        <v>23.69</v>
      </c>
      <c r="Y29" s="176">
        <v>1.2503055555555558</v>
      </c>
      <c r="Z29" s="176">
        <v>7.501833333333332</v>
      </c>
    </row>
    <row r="30" spans="1:26" x14ac:dyDescent="0.25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S30" s="176">
        <v>2</v>
      </c>
      <c r="T30" s="3">
        <v>20.894650354002877</v>
      </c>
      <c r="U30" s="176">
        <v>1.1027732131279298</v>
      </c>
      <c r="V30" s="176">
        <v>6.6166392787675763</v>
      </c>
      <c r="W30" s="199"/>
      <c r="X30" s="3">
        <v>20.72</v>
      </c>
      <c r="Y30" s="176">
        <v>1.0935555555555556</v>
      </c>
      <c r="Z30" s="176">
        <v>6.5613333333333319</v>
      </c>
    </row>
    <row r="31" spans="1:26" x14ac:dyDescent="0.25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S31" s="176">
        <v>3</v>
      </c>
      <c r="T31" s="3">
        <v>19.930215774072259</v>
      </c>
      <c r="U31" s="176">
        <v>1.0518724991871471</v>
      </c>
      <c r="V31" s="176">
        <v>6.3112349951228817</v>
      </c>
      <c r="W31" s="199"/>
      <c r="X31" s="3">
        <v>17.39</v>
      </c>
      <c r="Y31" s="176">
        <v>0.91780555555555565</v>
      </c>
      <c r="Z31" s="176">
        <v>5.5068333333333328</v>
      </c>
    </row>
    <row r="32" spans="1:26" x14ac:dyDescent="0.25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S32" s="176">
        <v>4</v>
      </c>
      <c r="T32" s="3">
        <v>19.732536364573527</v>
      </c>
      <c r="U32" s="176">
        <v>1.0414394192413807</v>
      </c>
      <c r="V32" s="176">
        <v>6.2486365154482826</v>
      </c>
      <c r="W32" s="199"/>
      <c r="X32" s="3">
        <v>16.899999999999999</v>
      </c>
      <c r="Y32" s="176">
        <v>0.89194444444444454</v>
      </c>
      <c r="Z32" s="176">
        <v>5.3516666666666657</v>
      </c>
    </row>
  </sheetData>
  <mergeCells count="19">
    <mergeCell ref="X27:Z27"/>
    <mergeCell ref="B2:J2"/>
    <mergeCell ref="B4:E4"/>
    <mergeCell ref="B11:J11"/>
    <mergeCell ref="B13:E13"/>
    <mergeCell ref="B20:J20"/>
    <mergeCell ref="B22:E22"/>
    <mergeCell ref="S25:Z25"/>
    <mergeCell ref="S9:V9"/>
    <mergeCell ref="X9:Z9"/>
    <mergeCell ref="S7:Z7"/>
    <mergeCell ref="S16:Z16"/>
    <mergeCell ref="S18:V18"/>
    <mergeCell ref="X18:Z18"/>
    <mergeCell ref="G22:J22"/>
    <mergeCell ref="G13:J13"/>
    <mergeCell ref="G4:J4"/>
    <mergeCell ref="B3:J3"/>
    <mergeCell ref="S27:V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800C-2F61-4ADC-85E6-FE1FCCBD8679}">
  <dimension ref="A1:BH21"/>
  <sheetViews>
    <sheetView topLeftCell="AK1" workbookViewId="0">
      <selection activeCell="AO22" sqref="AO22"/>
    </sheetView>
  </sheetViews>
  <sheetFormatPr baseColWidth="10" defaultRowHeight="15" x14ac:dyDescent="0.25"/>
  <cols>
    <col min="10" max="10" width="14.140625" bestFit="1" customWidth="1"/>
    <col min="45" max="60" width="10.7109375" customWidth="1"/>
  </cols>
  <sheetData>
    <row r="1" spans="1:60" ht="47.25" x14ac:dyDescent="0.25">
      <c r="A1" s="334" t="s">
        <v>245</v>
      </c>
      <c r="B1" s="334" t="s">
        <v>180</v>
      </c>
      <c r="C1" s="334" t="s">
        <v>244</v>
      </c>
      <c r="D1" s="289" t="s">
        <v>17</v>
      </c>
      <c r="E1" s="195" t="s">
        <v>168</v>
      </c>
      <c r="F1" s="195" t="s">
        <v>168</v>
      </c>
      <c r="G1" s="195"/>
      <c r="H1" s="195"/>
      <c r="I1" s="195" t="s">
        <v>229</v>
      </c>
      <c r="J1" s="195" t="s">
        <v>168</v>
      </c>
      <c r="K1" s="291" t="s">
        <v>18</v>
      </c>
      <c r="L1" s="291" t="s">
        <v>19</v>
      </c>
      <c r="M1" s="139" t="s">
        <v>169</v>
      </c>
      <c r="N1" s="139" t="s">
        <v>171</v>
      </c>
      <c r="O1" s="291" t="s">
        <v>22</v>
      </c>
      <c r="P1" s="376" t="s">
        <v>23</v>
      </c>
      <c r="Q1" s="278" t="s">
        <v>164</v>
      </c>
      <c r="R1" s="280" t="s">
        <v>28</v>
      </c>
      <c r="S1" s="280" t="s">
        <v>29</v>
      </c>
      <c r="T1" s="281" t="s">
        <v>30</v>
      </c>
      <c r="U1" s="283" t="s">
        <v>165</v>
      </c>
      <c r="V1" s="275" t="s">
        <v>28</v>
      </c>
      <c r="W1" s="275" t="s">
        <v>29</v>
      </c>
      <c r="X1" s="276" t="s">
        <v>30</v>
      </c>
      <c r="Y1" s="140" t="s">
        <v>47</v>
      </c>
      <c r="Z1" s="194" t="s">
        <v>166</v>
      </c>
      <c r="AA1" s="280" t="s">
        <v>36</v>
      </c>
      <c r="AB1" s="141" t="s">
        <v>167</v>
      </c>
      <c r="AC1" s="280" t="s">
        <v>38</v>
      </c>
      <c r="AD1" s="280" t="s">
        <v>39</v>
      </c>
      <c r="AE1" s="280" t="s">
        <v>262</v>
      </c>
      <c r="AF1" s="142" t="s">
        <v>172</v>
      </c>
      <c r="AG1" s="276" t="s">
        <v>263</v>
      </c>
      <c r="AH1" s="372" t="s">
        <v>230</v>
      </c>
      <c r="AI1" s="373"/>
      <c r="AJ1" s="372" t="s">
        <v>234</v>
      </c>
      <c r="AK1" s="342"/>
      <c r="AL1" s="373"/>
      <c r="AM1" s="374" t="s">
        <v>231</v>
      </c>
      <c r="AN1" s="375"/>
      <c r="AO1" s="204"/>
      <c r="AP1" s="363" t="s">
        <v>234</v>
      </c>
      <c r="AQ1" s="364"/>
      <c r="AR1" s="365"/>
      <c r="AS1" s="338" t="s">
        <v>273</v>
      </c>
      <c r="AT1" s="339"/>
      <c r="AU1" s="339"/>
      <c r="AV1" s="339"/>
      <c r="AW1" s="339"/>
      <c r="AX1" s="339"/>
      <c r="AY1" s="366"/>
      <c r="AZ1" s="361" t="s">
        <v>272</v>
      </c>
      <c r="BA1" s="362"/>
      <c r="BB1" s="362"/>
      <c r="BC1" s="362"/>
      <c r="BD1" s="362"/>
      <c r="BE1" s="362"/>
      <c r="BF1" s="362"/>
      <c r="BG1" s="362"/>
      <c r="BH1" s="362"/>
    </row>
    <row r="2" spans="1:60" ht="48" thickBot="1" x14ac:dyDescent="0.3">
      <c r="A2" s="335"/>
      <c r="B2" s="335"/>
      <c r="C2" s="335"/>
      <c r="D2" s="290"/>
      <c r="E2" s="196" t="s">
        <v>33</v>
      </c>
      <c r="F2" s="196" t="s">
        <v>152</v>
      </c>
      <c r="G2" s="196" t="s">
        <v>24</v>
      </c>
      <c r="H2" s="196" t="s">
        <v>25</v>
      </c>
      <c r="I2" s="196" t="s">
        <v>26</v>
      </c>
      <c r="J2" s="196" t="s">
        <v>32</v>
      </c>
      <c r="K2" s="292"/>
      <c r="L2" s="292"/>
      <c r="M2" s="144" t="s">
        <v>20</v>
      </c>
      <c r="N2" s="144" t="s">
        <v>21</v>
      </c>
      <c r="O2" s="292"/>
      <c r="P2" s="377"/>
      <c r="Q2" s="295"/>
      <c r="R2" s="297"/>
      <c r="S2" s="297"/>
      <c r="T2" s="300"/>
      <c r="U2" s="301"/>
      <c r="V2" s="302"/>
      <c r="W2" s="302"/>
      <c r="X2" s="296"/>
      <c r="Y2" s="145" t="s">
        <v>60</v>
      </c>
      <c r="Z2" s="197" t="s">
        <v>61</v>
      </c>
      <c r="AA2" s="297"/>
      <c r="AB2" s="147" t="s">
        <v>37</v>
      </c>
      <c r="AC2" s="297"/>
      <c r="AD2" s="297"/>
      <c r="AE2" s="297"/>
      <c r="AF2" s="148" t="s">
        <v>40</v>
      </c>
      <c r="AG2" s="296"/>
      <c r="AH2" s="201" t="s">
        <v>232</v>
      </c>
      <c r="AI2" s="202" t="s">
        <v>233</v>
      </c>
      <c r="AJ2" s="201" t="s">
        <v>232</v>
      </c>
      <c r="AK2" s="201" t="s">
        <v>232</v>
      </c>
      <c r="AL2" s="203" t="s">
        <v>233</v>
      </c>
      <c r="AM2" s="205" t="s">
        <v>232</v>
      </c>
      <c r="AN2" s="206" t="s">
        <v>233</v>
      </c>
      <c r="AO2" s="207" t="s">
        <v>235</v>
      </c>
      <c r="AP2" s="207" t="s">
        <v>232</v>
      </c>
      <c r="AQ2" s="207" t="s">
        <v>235</v>
      </c>
      <c r="AR2" s="207" t="s">
        <v>233</v>
      </c>
      <c r="AS2" s="216" t="s">
        <v>236</v>
      </c>
      <c r="AT2" s="216" t="s">
        <v>237</v>
      </c>
      <c r="AU2" s="216" t="s">
        <v>238</v>
      </c>
      <c r="AV2" s="216" t="s">
        <v>239</v>
      </c>
      <c r="AW2" s="216" t="s">
        <v>240</v>
      </c>
      <c r="AX2" s="216" t="s">
        <v>241</v>
      </c>
      <c r="AY2" s="216" t="s">
        <v>242</v>
      </c>
      <c r="AZ2" s="217" t="s">
        <v>236</v>
      </c>
      <c r="BA2" s="217" t="s">
        <v>237</v>
      </c>
      <c r="BB2" s="217" t="s">
        <v>238</v>
      </c>
      <c r="BC2" s="217" t="s">
        <v>239</v>
      </c>
      <c r="BD2" s="217" t="s">
        <v>240</v>
      </c>
      <c r="BE2" s="217" t="s">
        <v>241</v>
      </c>
      <c r="BF2" s="230" t="s">
        <v>242</v>
      </c>
      <c r="BG2" s="230" t="s">
        <v>180</v>
      </c>
      <c r="BH2" s="230" t="s">
        <v>259</v>
      </c>
    </row>
    <row r="3" spans="1:60" ht="16.5" customHeight="1" thickBot="1" x14ac:dyDescent="0.3">
      <c r="A3" s="200">
        <f>H3*10000</f>
        <v>171000</v>
      </c>
      <c r="B3" s="349">
        <f>A3-A4</f>
        <v>-6675.0000000000291</v>
      </c>
      <c r="C3" s="168">
        <v>1</v>
      </c>
      <c r="D3" s="149">
        <v>22.8</v>
      </c>
      <c r="E3" s="52" t="s">
        <v>150</v>
      </c>
      <c r="F3" s="69" t="s">
        <v>270</v>
      </c>
      <c r="G3" s="52">
        <v>0.75</v>
      </c>
      <c r="H3" s="52">
        <f>D3*G3</f>
        <v>17.100000000000001</v>
      </c>
      <c r="I3" s="52">
        <f>H3</f>
        <v>17.100000000000001</v>
      </c>
      <c r="J3" s="52" t="s">
        <v>160</v>
      </c>
      <c r="K3" s="48">
        <v>22</v>
      </c>
      <c r="L3" s="48">
        <v>10</v>
      </c>
      <c r="M3" s="52">
        <v>20</v>
      </c>
      <c r="N3" s="52">
        <v>0</v>
      </c>
      <c r="O3" s="48">
        <v>17</v>
      </c>
      <c r="P3" s="64">
        <f>((K3-L3)/100)*M3*(1-(N3/100))</f>
        <v>2.4</v>
      </c>
      <c r="Q3" s="65">
        <v>0.2</v>
      </c>
      <c r="R3" s="52">
        <f>P3*Q3</f>
        <v>0.48</v>
      </c>
      <c r="S3" s="52">
        <f>R3*10</f>
        <v>4.8</v>
      </c>
      <c r="T3" s="52">
        <f>I3/S3</f>
        <v>3.5625000000000004</v>
      </c>
      <c r="U3" s="65">
        <v>0.4</v>
      </c>
      <c r="V3" s="52">
        <f>P3*U3</f>
        <v>0.96</v>
      </c>
      <c r="W3" s="52">
        <f>V3*10</f>
        <v>9.6</v>
      </c>
      <c r="X3" s="52">
        <f>I3/W3</f>
        <v>1.7812500000000002</v>
      </c>
      <c r="Y3" s="52">
        <v>3</v>
      </c>
      <c r="Z3" s="52">
        <v>0.5</v>
      </c>
      <c r="AA3" s="52">
        <f>10000/(Y3*Z3)</f>
        <v>6666.666666666667</v>
      </c>
      <c r="AB3" s="52">
        <v>4</v>
      </c>
      <c r="AC3" s="52">
        <f>AA3*AB3/10000</f>
        <v>2.666666666666667</v>
      </c>
      <c r="AD3" s="65">
        <v>0.9</v>
      </c>
      <c r="AE3" s="52">
        <f>I3/(AC3*AD3)</f>
        <v>7.1249999999999991</v>
      </c>
      <c r="AF3" s="52">
        <v>20</v>
      </c>
      <c r="AG3" s="152">
        <f>5*AF3/4</f>
        <v>25</v>
      </c>
      <c r="AH3" s="149">
        <f>X3</f>
        <v>1.7812500000000002</v>
      </c>
      <c r="AI3" s="152">
        <f>AG3</f>
        <v>25</v>
      </c>
      <c r="AJ3" s="368">
        <f>AH3-AH4</f>
        <v>-6.9531250000000044E-2</v>
      </c>
      <c r="AK3" s="318">
        <f>ABS(AH3-AH4)/AH4</f>
        <v>3.7568594343604912E-2</v>
      </c>
      <c r="AL3" s="316">
        <f>ABS(AI3-AI4)/AI4</f>
        <v>0</v>
      </c>
      <c r="AM3" s="149">
        <f>T3</f>
        <v>3.5625000000000004</v>
      </c>
      <c r="AN3" s="152">
        <f>AE3</f>
        <v>7.1249999999999991</v>
      </c>
      <c r="AO3" s="322">
        <f>AM3-AM4</f>
        <v>-0.13906250000000009</v>
      </c>
      <c r="AP3" s="370">
        <f>ABS(AM3-AM4)/AM4</f>
        <v>3.7568594343604912E-2</v>
      </c>
      <c r="AQ3" s="320">
        <f>AN3-AN4</f>
        <v>-0.27812500000000018</v>
      </c>
      <c r="AR3" s="378">
        <f>ABS(AN3-AN4)/AN4</f>
        <v>3.7568594343604926E-2</v>
      </c>
      <c r="AS3" s="218">
        <v>25</v>
      </c>
      <c r="AT3" s="219" t="s">
        <v>243</v>
      </c>
      <c r="AU3" s="219">
        <v>25</v>
      </c>
      <c r="AV3" s="219">
        <v>25</v>
      </c>
      <c r="AW3" s="219">
        <v>25</v>
      </c>
      <c r="AX3" s="219" t="s">
        <v>243</v>
      </c>
      <c r="AY3" s="220">
        <v>25</v>
      </c>
      <c r="AZ3" s="218">
        <v>1.78</v>
      </c>
      <c r="BA3" s="219" t="s">
        <v>243</v>
      </c>
      <c r="BB3" s="219">
        <v>1.78</v>
      </c>
      <c r="BC3" s="219" t="s">
        <v>243</v>
      </c>
      <c r="BD3" s="219">
        <v>1.78</v>
      </c>
      <c r="BE3" s="219" t="s">
        <v>243</v>
      </c>
      <c r="BF3" s="231">
        <v>1.78</v>
      </c>
      <c r="BG3" s="380">
        <f>ABS(BB3-BB4)</f>
        <v>7.0000000000000062E-2</v>
      </c>
      <c r="BH3" s="337">
        <f>BG3*60</f>
        <v>4.2000000000000037</v>
      </c>
    </row>
    <row r="4" spans="1:60" ht="16.5" customHeight="1" thickBot="1" x14ac:dyDescent="0.3">
      <c r="A4" s="166">
        <f t="shared" ref="A4:A10" si="0">H4*10000</f>
        <v>177675.00000000003</v>
      </c>
      <c r="B4" s="367"/>
      <c r="C4" s="165">
        <v>1</v>
      </c>
      <c r="D4" s="150">
        <v>23.69</v>
      </c>
      <c r="E4" s="52" t="s">
        <v>150</v>
      </c>
      <c r="F4" s="69" t="s">
        <v>270</v>
      </c>
      <c r="G4" s="52">
        <v>0.75</v>
      </c>
      <c r="H4" s="59">
        <f>D4*G4</f>
        <v>17.767500000000002</v>
      </c>
      <c r="I4" s="52">
        <f t="shared" ref="I4:I10" si="1">H4</f>
        <v>17.767500000000002</v>
      </c>
      <c r="J4" s="52" t="s">
        <v>160</v>
      </c>
      <c r="K4" s="48">
        <v>22</v>
      </c>
      <c r="L4" s="48">
        <v>10</v>
      </c>
      <c r="M4" s="52">
        <v>20</v>
      </c>
      <c r="N4" s="52">
        <v>0</v>
      </c>
      <c r="O4" s="48">
        <v>17</v>
      </c>
      <c r="P4" s="64">
        <f t="shared" ref="P4:P10" si="2">((K4-L4)/100)*M4*(1-(N4/100))</f>
        <v>2.4</v>
      </c>
      <c r="Q4" s="71">
        <v>0.2</v>
      </c>
      <c r="R4" s="59">
        <f>P4*Q4</f>
        <v>0.48</v>
      </c>
      <c r="S4" s="59">
        <f>R4*10</f>
        <v>4.8</v>
      </c>
      <c r="T4" s="59">
        <f>I4/S4</f>
        <v>3.7015625000000005</v>
      </c>
      <c r="U4" s="71">
        <v>0.4</v>
      </c>
      <c r="V4" s="59">
        <f>P4*U4</f>
        <v>0.96</v>
      </c>
      <c r="W4" s="59">
        <f>V4*10</f>
        <v>9.6</v>
      </c>
      <c r="X4" s="59">
        <f>I4/W4</f>
        <v>1.8507812500000003</v>
      </c>
      <c r="Y4" s="52">
        <v>3</v>
      </c>
      <c r="Z4" s="52">
        <v>0.5</v>
      </c>
      <c r="AA4" s="59">
        <f>10000/(Y4*Z4)</f>
        <v>6666.666666666667</v>
      </c>
      <c r="AB4" s="52">
        <v>4</v>
      </c>
      <c r="AC4" s="59">
        <f>AA4*AB4/10000</f>
        <v>2.666666666666667</v>
      </c>
      <c r="AD4" s="71">
        <v>0.9</v>
      </c>
      <c r="AE4" s="59">
        <f>I4/(AC4*AD4)</f>
        <v>7.4031249999999993</v>
      </c>
      <c r="AF4" s="52">
        <v>20</v>
      </c>
      <c r="AG4" s="153">
        <f>5*AF4/4</f>
        <v>25</v>
      </c>
      <c r="AH4" s="150">
        <f t="shared" ref="AH4:AH10" si="3">X4</f>
        <v>1.8507812500000003</v>
      </c>
      <c r="AI4" s="153">
        <f t="shared" ref="AI4:AI10" si="4">AG4</f>
        <v>25</v>
      </c>
      <c r="AJ4" s="369"/>
      <c r="AK4" s="319"/>
      <c r="AL4" s="317"/>
      <c r="AM4" s="150">
        <f t="shared" ref="AM4:AM10" si="5">T4</f>
        <v>3.7015625000000005</v>
      </c>
      <c r="AN4" s="153">
        <f t="shared" ref="AN4:AN10" si="6">AE4</f>
        <v>7.4031249999999993</v>
      </c>
      <c r="AO4" s="323"/>
      <c r="AP4" s="371"/>
      <c r="AQ4" s="321"/>
      <c r="AR4" s="379"/>
      <c r="AS4" s="222">
        <v>25</v>
      </c>
      <c r="AT4" s="223" t="s">
        <v>243</v>
      </c>
      <c r="AU4" s="223">
        <v>25</v>
      </c>
      <c r="AV4" s="223">
        <v>25</v>
      </c>
      <c r="AW4" s="223">
        <v>25</v>
      </c>
      <c r="AX4" s="223" t="s">
        <v>243</v>
      </c>
      <c r="AY4" s="224">
        <v>25</v>
      </c>
      <c r="AZ4" s="222">
        <v>1.85</v>
      </c>
      <c r="BA4" s="223" t="s">
        <v>243</v>
      </c>
      <c r="BB4" s="223">
        <v>1.85</v>
      </c>
      <c r="BC4" s="223" t="s">
        <v>243</v>
      </c>
      <c r="BD4" s="223">
        <v>1.85</v>
      </c>
      <c r="BE4" s="223" t="s">
        <v>243</v>
      </c>
      <c r="BF4" s="232">
        <v>1.85</v>
      </c>
      <c r="BG4" s="381"/>
      <c r="BH4" s="333"/>
    </row>
    <row r="5" spans="1:60" ht="16.5" customHeight="1" thickBot="1" x14ac:dyDescent="0.3">
      <c r="A5" s="166">
        <f t="shared" si="0"/>
        <v>156709.87765502158</v>
      </c>
      <c r="B5" s="349">
        <f t="shared" ref="B5" si="7">A5-A6</f>
        <v>1309.8776550215844</v>
      </c>
      <c r="C5" s="165">
        <v>2</v>
      </c>
      <c r="D5" s="149">
        <v>20.894650354002877</v>
      </c>
      <c r="E5" s="52" t="s">
        <v>150</v>
      </c>
      <c r="F5" s="69" t="s">
        <v>270</v>
      </c>
      <c r="G5" s="52">
        <v>0.75</v>
      </c>
      <c r="H5" s="52">
        <f t="shared" ref="H5:H10" si="8">D5*G5</f>
        <v>15.670987765502158</v>
      </c>
      <c r="I5" s="52">
        <f t="shared" si="1"/>
        <v>15.670987765502158</v>
      </c>
      <c r="J5" s="52" t="s">
        <v>160</v>
      </c>
      <c r="K5" s="48">
        <v>22</v>
      </c>
      <c r="L5" s="48">
        <v>10</v>
      </c>
      <c r="M5" s="52">
        <v>20</v>
      </c>
      <c r="N5" s="52">
        <v>0</v>
      </c>
      <c r="O5" s="48">
        <v>17</v>
      </c>
      <c r="P5" s="64">
        <f t="shared" si="2"/>
        <v>2.4</v>
      </c>
      <c r="Q5" s="65">
        <v>0.2</v>
      </c>
      <c r="R5" s="52">
        <f t="shared" ref="R5:R10" si="9">P5*Q5</f>
        <v>0.48</v>
      </c>
      <c r="S5" s="52">
        <f t="shared" ref="S5:S10" si="10">R5*10</f>
        <v>4.8</v>
      </c>
      <c r="T5" s="52">
        <f t="shared" ref="T5:T10" si="11">I5/S5</f>
        <v>3.2647891178129496</v>
      </c>
      <c r="U5" s="65">
        <v>0.4</v>
      </c>
      <c r="V5" s="52">
        <f t="shared" ref="V5:V10" si="12">P5*U5</f>
        <v>0.96</v>
      </c>
      <c r="W5" s="52">
        <f t="shared" ref="W5:W10" si="13">V5*10</f>
        <v>9.6</v>
      </c>
      <c r="X5" s="52">
        <f t="shared" ref="X5:X10" si="14">I5/W5</f>
        <v>1.6323945589064748</v>
      </c>
      <c r="Y5" s="52">
        <v>3</v>
      </c>
      <c r="Z5" s="52">
        <v>0.5</v>
      </c>
      <c r="AA5" s="52">
        <f t="shared" ref="AA5:AA10" si="15">10000/(Y5*Z5)</f>
        <v>6666.666666666667</v>
      </c>
      <c r="AB5" s="52">
        <v>4</v>
      </c>
      <c r="AC5" s="52">
        <f t="shared" ref="AC5:AC10" si="16">AA5*AB5/10000</f>
        <v>2.666666666666667</v>
      </c>
      <c r="AD5" s="65">
        <v>0.9</v>
      </c>
      <c r="AE5" s="52">
        <f t="shared" ref="AE5:AE10" si="17">I5/(AC5*AD5)</f>
        <v>6.5295782356258982</v>
      </c>
      <c r="AF5" s="52">
        <v>20</v>
      </c>
      <c r="AG5" s="152">
        <f t="shared" ref="AG5:AG10" si="18">5*AF5/4</f>
        <v>25</v>
      </c>
      <c r="AH5" s="149">
        <f t="shared" si="3"/>
        <v>1.6323945589064748</v>
      </c>
      <c r="AI5" s="152">
        <f t="shared" si="4"/>
        <v>25</v>
      </c>
      <c r="AJ5" s="368">
        <f t="shared" ref="AJ5" si="19">AH5-AH6</f>
        <v>1.3644558906474868E-2</v>
      </c>
      <c r="AK5" s="318">
        <f t="shared" ref="AK5:AL5" si="20">ABS(AH5-AH6)/AH6</f>
        <v>8.429071139135054E-3</v>
      </c>
      <c r="AL5" s="316">
        <f t="shared" si="20"/>
        <v>0</v>
      </c>
      <c r="AM5" s="149">
        <f t="shared" si="5"/>
        <v>3.2647891178129496</v>
      </c>
      <c r="AN5" s="152">
        <f t="shared" si="6"/>
        <v>6.5295782356258982</v>
      </c>
      <c r="AO5" s="322">
        <f>AM5-AM6</f>
        <v>2.7289117812949737E-2</v>
      </c>
      <c r="AP5" s="370">
        <f>ABS(AM5-AM6)/AM6</f>
        <v>8.429071139135054E-3</v>
      </c>
      <c r="AQ5" s="320">
        <f>AN5-AN6</f>
        <v>5.4578235625899474E-2</v>
      </c>
      <c r="AR5" s="378">
        <f>ABS(AN5-AN6)/AN6</f>
        <v>8.4290711391350557E-3</v>
      </c>
      <c r="AS5" s="218">
        <v>25</v>
      </c>
      <c r="AT5" s="219" t="s">
        <v>243</v>
      </c>
      <c r="AU5" s="219" t="s">
        <v>243</v>
      </c>
      <c r="AV5" s="219">
        <v>25</v>
      </c>
      <c r="AW5" s="219" t="s">
        <v>243</v>
      </c>
      <c r="AX5" s="219" t="s">
        <v>243</v>
      </c>
      <c r="AY5" s="220">
        <v>25</v>
      </c>
      <c r="AZ5" s="218" t="s">
        <v>243</v>
      </c>
      <c r="BA5" s="219">
        <v>2.16</v>
      </c>
      <c r="BB5" s="219" t="s">
        <v>243</v>
      </c>
      <c r="BC5" s="219">
        <v>2.16</v>
      </c>
      <c r="BD5" s="219" t="s">
        <v>243</v>
      </c>
      <c r="BE5" s="219">
        <v>2.16</v>
      </c>
      <c r="BF5" s="231" t="s">
        <v>243</v>
      </c>
      <c r="BG5" s="380">
        <f t="shared" ref="BG5" si="21">BA5-BA6</f>
        <v>1.0000000000000231E-2</v>
      </c>
      <c r="BH5" s="337">
        <f t="shared" ref="BH5" si="22">BG5*60</f>
        <v>0.60000000000001386</v>
      </c>
    </row>
    <row r="6" spans="1:60" ht="16.5" customHeight="1" thickBot="1" x14ac:dyDescent="0.3">
      <c r="A6" s="166">
        <f t="shared" si="0"/>
        <v>155400</v>
      </c>
      <c r="B6" s="367"/>
      <c r="C6" s="165">
        <v>2</v>
      </c>
      <c r="D6" s="151">
        <v>20.72</v>
      </c>
      <c r="E6" s="52" t="s">
        <v>150</v>
      </c>
      <c r="F6" s="69" t="s">
        <v>270</v>
      </c>
      <c r="G6" s="52">
        <v>0.75</v>
      </c>
      <c r="H6" s="59">
        <f t="shared" si="8"/>
        <v>15.54</v>
      </c>
      <c r="I6" s="52">
        <f t="shared" si="1"/>
        <v>15.54</v>
      </c>
      <c r="J6" s="52" t="s">
        <v>160</v>
      </c>
      <c r="K6" s="48">
        <v>22</v>
      </c>
      <c r="L6" s="48">
        <v>10</v>
      </c>
      <c r="M6" s="52">
        <v>20</v>
      </c>
      <c r="N6" s="52">
        <v>0</v>
      </c>
      <c r="O6" s="48">
        <v>17</v>
      </c>
      <c r="P6" s="64">
        <f t="shared" si="2"/>
        <v>2.4</v>
      </c>
      <c r="Q6" s="71">
        <v>0.2</v>
      </c>
      <c r="R6" s="59">
        <f t="shared" si="9"/>
        <v>0.48</v>
      </c>
      <c r="S6" s="59">
        <f t="shared" si="10"/>
        <v>4.8</v>
      </c>
      <c r="T6" s="59">
        <f t="shared" si="11"/>
        <v>3.2374999999999998</v>
      </c>
      <c r="U6" s="71">
        <v>0.4</v>
      </c>
      <c r="V6" s="59">
        <f t="shared" si="12"/>
        <v>0.96</v>
      </c>
      <c r="W6" s="59">
        <f t="shared" si="13"/>
        <v>9.6</v>
      </c>
      <c r="X6" s="59">
        <f t="shared" si="14"/>
        <v>1.6187499999999999</v>
      </c>
      <c r="Y6" s="52">
        <v>3</v>
      </c>
      <c r="Z6" s="52">
        <v>0.5</v>
      </c>
      <c r="AA6" s="59">
        <f t="shared" si="15"/>
        <v>6666.666666666667</v>
      </c>
      <c r="AB6" s="52">
        <v>4</v>
      </c>
      <c r="AC6" s="59">
        <f t="shared" si="16"/>
        <v>2.666666666666667</v>
      </c>
      <c r="AD6" s="71">
        <v>0.9</v>
      </c>
      <c r="AE6" s="59">
        <f t="shared" si="17"/>
        <v>6.4749999999999988</v>
      </c>
      <c r="AF6" s="52">
        <v>20</v>
      </c>
      <c r="AG6" s="153">
        <f t="shared" si="18"/>
        <v>25</v>
      </c>
      <c r="AH6" s="150">
        <f t="shared" si="3"/>
        <v>1.6187499999999999</v>
      </c>
      <c r="AI6" s="153">
        <f t="shared" si="4"/>
        <v>25</v>
      </c>
      <c r="AJ6" s="369"/>
      <c r="AK6" s="319"/>
      <c r="AL6" s="317"/>
      <c r="AM6" s="150">
        <f t="shared" si="5"/>
        <v>3.2374999999999998</v>
      </c>
      <c r="AN6" s="153">
        <f t="shared" si="6"/>
        <v>6.4749999999999988</v>
      </c>
      <c r="AO6" s="323"/>
      <c r="AP6" s="371"/>
      <c r="AQ6" s="321"/>
      <c r="AR6" s="379"/>
      <c r="AS6" s="222">
        <v>25</v>
      </c>
      <c r="AT6" s="223" t="s">
        <v>243</v>
      </c>
      <c r="AU6" s="223" t="s">
        <v>243</v>
      </c>
      <c r="AV6" s="223">
        <v>25</v>
      </c>
      <c r="AW6" s="223" t="s">
        <v>243</v>
      </c>
      <c r="AX6" s="223" t="s">
        <v>243</v>
      </c>
      <c r="AY6" s="224">
        <v>25</v>
      </c>
      <c r="AZ6" s="222" t="s">
        <v>243</v>
      </c>
      <c r="BA6" s="223">
        <v>2.15</v>
      </c>
      <c r="BB6" s="223" t="s">
        <v>243</v>
      </c>
      <c r="BC6" s="223">
        <v>2.15</v>
      </c>
      <c r="BD6" s="223" t="s">
        <v>243</v>
      </c>
      <c r="BE6" s="223">
        <v>2.15</v>
      </c>
      <c r="BF6" s="232" t="s">
        <v>243</v>
      </c>
      <c r="BG6" s="381"/>
      <c r="BH6" s="333"/>
    </row>
    <row r="7" spans="1:60" ht="16.5" customHeight="1" thickBot="1" x14ac:dyDescent="0.3">
      <c r="A7" s="166">
        <f t="shared" si="0"/>
        <v>149476.61830554195</v>
      </c>
      <c r="B7" s="349">
        <f t="shared" ref="B7" si="23">A7-A8</f>
        <v>19051.618305541953</v>
      </c>
      <c r="C7" s="165">
        <v>3</v>
      </c>
      <c r="D7" s="149">
        <v>19.930215774072259</v>
      </c>
      <c r="E7" s="52" t="s">
        <v>150</v>
      </c>
      <c r="F7" s="69" t="s">
        <v>270</v>
      </c>
      <c r="G7" s="52">
        <v>0.75</v>
      </c>
      <c r="H7" s="52">
        <f t="shared" si="8"/>
        <v>14.947661830554194</v>
      </c>
      <c r="I7" s="52">
        <f t="shared" si="1"/>
        <v>14.947661830554194</v>
      </c>
      <c r="J7" s="52" t="s">
        <v>160</v>
      </c>
      <c r="K7" s="48">
        <v>22</v>
      </c>
      <c r="L7" s="48">
        <v>10</v>
      </c>
      <c r="M7" s="52">
        <v>20</v>
      </c>
      <c r="N7" s="52">
        <v>0</v>
      </c>
      <c r="O7" s="48">
        <v>17</v>
      </c>
      <c r="P7" s="64">
        <f t="shared" si="2"/>
        <v>2.4</v>
      </c>
      <c r="Q7" s="65">
        <v>0.2</v>
      </c>
      <c r="R7" s="52">
        <f t="shared" si="9"/>
        <v>0.48</v>
      </c>
      <c r="S7" s="52">
        <f t="shared" si="10"/>
        <v>4.8</v>
      </c>
      <c r="T7" s="52">
        <f t="shared" si="11"/>
        <v>3.1140962146987907</v>
      </c>
      <c r="U7" s="65">
        <v>0.4</v>
      </c>
      <c r="V7" s="52">
        <f t="shared" si="12"/>
        <v>0.96</v>
      </c>
      <c r="W7" s="52">
        <f t="shared" si="13"/>
        <v>9.6</v>
      </c>
      <c r="X7" s="52">
        <f t="shared" si="14"/>
        <v>1.5570481073493954</v>
      </c>
      <c r="Y7" s="52">
        <v>3</v>
      </c>
      <c r="Z7" s="52">
        <v>0.5</v>
      </c>
      <c r="AA7" s="52">
        <f t="shared" si="15"/>
        <v>6666.666666666667</v>
      </c>
      <c r="AB7" s="52">
        <v>4</v>
      </c>
      <c r="AC7" s="52">
        <f t="shared" si="16"/>
        <v>2.666666666666667</v>
      </c>
      <c r="AD7" s="65">
        <v>0.9</v>
      </c>
      <c r="AE7" s="52">
        <f t="shared" si="17"/>
        <v>6.2281924293975797</v>
      </c>
      <c r="AF7" s="52">
        <v>20</v>
      </c>
      <c r="AG7" s="152">
        <f t="shared" si="18"/>
        <v>25</v>
      </c>
      <c r="AH7" s="149">
        <f t="shared" si="3"/>
        <v>1.5570481073493954</v>
      </c>
      <c r="AI7" s="152">
        <f t="shared" si="4"/>
        <v>25</v>
      </c>
      <c r="AJ7" s="368">
        <f t="shared" ref="AJ7" si="24">AH7-AH8</f>
        <v>0.19845435734939532</v>
      </c>
      <c r="AK7" s="318">
        <f t="shared" ref="AK7:AL7" si="25">ABS(AH7-AH8)/AH8</f>
        <v>0.14607336251134329</v>
      </c>
      <c r="AL7" s="316">
        <f t="shared" si="25"/>
        <v>0</v>
      </c>
      <c r="AM7" s="149">
        <f t="shared" si="5"/>
        <v>3.1140962146987907</v>
      </c>
      <c r="AN7" s="152">
        <f t="shared" si="6"/>
        <v>6.2281924293975797</v>
      </c>
      <c r="AO7" s="322">
        <f>AM7-AM8</f>
        <v>0.39690871469879063</v>
      </c>
      <c r="AP7" s="370">
        <f>ABS(AM7-AM8)/AM8</f>
        <v>0.14607336251134329</v>
      </c>
      <c r="AQ7" s="320">
        <f>AN7-AN8</f>
        <v>0.79381742939758038</v>
      </c>
      <c r="AR7" s="378">
        <f>ABS(AN7-AN8)/AN8</f>
        <v>0.14607336251134315</v>
      </c>
      <c r="AS7" s="218">
        <v>25</v>
      </c>
      <c r="AT7" s="219" t="s">
        <v>243</v>
      </c>
      <c r="AU7" s="219">
        <v>25</v>
      </c>
      <c r="AV7" s="219">
        <v>25</v>
      </c>
      <c r="AW7" s="219">
        <v>25</v>
      </c>
      <c r="AX7" s="219">
        <v>25</v>
      </c>
      <c r="AY7" s="220">
        <v>25</v>
      </c>
      <c r="AZ7" s="218" t="s">
        <v>243</v>
      </c>
      <c r="BA7" s="219">
        <v>2</v>
      </c>
      <c r="BB7" s="219" t="s">
        <v>243</v>
      </c>
      <c r="BC7" s="219">
        <v>2</v>
      </c>
      <c r="BD7" s="219" t="s">
        <v>243</v>
      </c>
      <c r="BE7" s="219">
        <v>2</v>
      </c>
      <c r="BF7" s="231" t="s">
        <v>243</v>
      </c>
      <c r="BG7" s="380">
        <f t="shared" ref="BG7" si="26">BA7-BA8</f>
        <v>0.19999999999999996</v>
      </c>
      <c r="BH7" s="337">
        <f t="shared" ref="BH7" si="27">BG7*60</f>
        <v>11.999999999999996</v>
      </c>
    </row>
    <row r="8" spans="1:60" ht="16.5" customHeight="1" thickBot="1" x14ac:dyDescent="0.3">
      <c r="A8" s="166">
        <f t="shared" si="0"/>
        <v>130425</v>
      </c>
      <c r="B8" s="367"/>
      <c r="C8" s="165">
        <v>3</v>
      </c>
      <c r="D8" s="150">
        <v>17.39</v>
      </c>
      <c r="E8" s="52" t="s">
        <v>150</v>
      </c>
      <c r="F8" s="69" t="s">
        <v>270</v>
      </c>
      <c r="G8" s="52">
        <v>0.75</v>
      </c>
      <c r="H8" s="59">
        <f t="shared" si="8"/>
        <v>13.0425</v>
      </c>
      <c r="I8" s="52">
        <f t="shared" si="1"/>
        <v>13.0425</v>
      </c>
      <c r="J8" s="52" t="s">
        <v>160</v>
      </c>
      <c r="K8" s="48">
        <v>22</v>
      </c>
      <c r="L8" s="48">
        <v>10</v>
      </c>
      <c r="M8" s="52">
        <v>20</v>
      </c>
      <c r="N8" s="52">
        <v>0</v>
      </c>
      <c r="O8" s="48">
        <v>17</v>
      </c>
      <c r="P8" s="64">
        <f t="shared" si="2"/>
        <v>2.4</v>
      </c>
      <c r="Q8" s="71">
        <v>0.2</v>
      </c>
      <c r="R8" s="59">
        <f t="shared" si="9"/>
        <v>0.48</v>
      </c>
      <c r="S8" s="59">
        <f t="shared" si="10"/>
        <v>4.8</v>
      </c>
      <c r="T8" s="59">
        <f t="shared" si="11"/>
        <v>2.7171875000000001</v>
      </c>
      <c r="U8" s="71">
        <v>0.4</v>
      </c>
      <c r="V8" s="59">
        <f t="shared" si="12"/>
        <v>0.96</v>
      </c>
      <c r="W8" s="59">
        <f t="shared" si="13"/>
        <v>9.6</v>
      </c>
      <c r="X8" s="59">
        <f t="shared" si="14"/>
        <v>1.35859375</v>
      </c>
      <c r="Y8" s="52">
        <v>3</v>
      </c>
      <c r="Z8" s="52">
        <v>0.5</v>
      </c>
      <c r="AA8" s="59">
        <f t="shared" si="15"/>
        <v>6666.666666666667</v>
      </c>
      <c r="AB8" s="52">
        <v>4</v>
      </c>
      <c r="AC8" s="59">
        <f t="shared" si="16"/>
        <v>2.666666666666667</v>
      </c>
      <c r="AD8" s="71">
        <v>0.9</v>
      </c>
      <c r="AE8" s="59">
        <f t="shared" si="17"/>
        <v>5.4343749999999993</v>
      </c>
      <c r="AF8" s="52">
        <v>20</v>
      </c>
      <c r="AG8" s="153">
        <f t="shared" si="18"/>
        <v>25</v>
      </c>
      <c r="AH8" s="150">
        <f t="shared" si="3"/>
        <v>1.35859375</v>
      </c>
      <c r="AI8" s="153">
        <f t="shared" si="4"/>
        <v>25</v>
      </c>
      <c r="AJ8" s="369"/>
      <c r="AK8" s="319"/>
      <c r="AL8" s="317"/>
      <c r="AM8" s="150">
        <f t="shared" si="5"/>
        <v>2.7171875000000001</v>
      </c>
      <c r="AN8" s="153">
        <f t="shared" si="6"/>
        <v>5.4343749999999993</v>
      </c>
      <c r="AO8" s="323"/>
      <c r="AP8" s="371"/>
      <c r="AQ8" s="321"/>
      <c r="AR8" s="379"/>
      <c r="AS8" s="222">
        <v>25</v>
      </c>
      <c r="AT8" s="223" t="s">
        <v>243</v>
      </c>
      <c r="AU8" s="223">
        <v>25</v>
      </c>
      <c r="AV8" s="223">
        <v>25</v>
      </c>
      <c r="AW8" s="223">
        <v>25</v>
      </c>
      <c r="AX8" s="223" t="s">
        <v>243</v>
      </c>
      <c r="AY8" s="224">
        <v>25</v>
      </c>
      <c r="AZ8" s="222" t="s">
        <v>243</v>
      </c>
      <c r="BA8" s="223">
        <v>1.8</v>
      </c>
      <c r="BB8" s="223" t="s">
        <v>243</v>
      </c>
      <c r="BC8" s="223">
        <v>1.8</v>
      </c>
      <c r="BD8" s="223" t="s">
        <v>243</v>
      </c>
      <c r="BE8" s="223">
        <v>1.8</v>
      </c>
      <c r="BF8" s="232" t="s">
        <v>243</v>
      </c>
      <c r="BG8" s="381"/>
      <c r="BH8" s="333"/>
    </row>
    <row r="9" spans="1:60" ht="16.5" customHeight="1" thickBot="1" x14ac:dyDescent="0.3">
      <c r="A9" s="166">
        <f t="shared" si="0"/>
        <v>147994.02273430146</v>
      </c>
      <c r="B9" s="349">
        <f t="shared" ref="B9" si="28">A9-A10</f>
        <v>21244.02273430147</v>
      </c>
      <c r="C9" s="165">
        <v>4</v>
      </c>
      <c r="D9" s="149">
        <v>19.732536364573527</v>
      </c>
      <c r="E9" s="52" t="s">
        <v>150</v>
      </c>
      <c r="F9" s="69" t="s">
        <v>270</v>
      </c>
      <c r="G9" s="52">
        <v>0.75</v>
      </c>
      <c r="H9" s="52">
        <f t="shared" si="8"/>
        <v>14.799402273430145</v>
      </c>
      <c r="I9" s="52">
        <f t="shared" si="1"/>
        <v>14.799402273430145</v>
      </c>
      <c r="J9" s="52" t="s">
        <v>160</v>
      </c>
      <c r="K9" s="48">
        <v>22</v>
      </c>
      <c r="L9" s="48">
        <v>10</v>
      </c>
      <c r="M9" s="52">
        <v>20</v>
      </c>
      <c r="N9" s="52">
        <v>0</v>
      </c>
      <c r="O9" s="48">
        <v>17</v>
      </c>
      <c r="P9" s="64">
        <f t="shared" si="2"/>
        <v>2.4</v>
      </c>
      <c r="Q9" s="65">
        <v>0.2</v>
      </c>
      <c r="R9" s="52">
        <f t="shared" si="9"/>
        <v>0.48</v>
      </c>
      <c r="S9" s="52">
        <f t="shared" si="10"/>
        <v>4.8</v>
      </c>
      <c r="T9" s="52">
        <f t="shared" si="11"/>
        <v>3.0832088069646137</v>
      </c>
      <c r="U9" s="65">
        <v>0.4</v>
      </c>
      <c r="V9" s="52">
        <f t="shared" si="12"/>
        <v>0.96</v>
      </c>
      <c r="W9" s="52">
        <f t="shared" si="13"/>
        <v>9.6</v>
      </c>
      <c r="X9" s="52">
        <f t="shared" si="14"/>
        <v>1.5416044034823069</v>
      </c>
      <c r="Y9" s="52">
        <v>3</v>
      </c>
      <c r="Z9" s="52">
        <v>0.5</v>
      </c>
      <c r="AA9" s="52">
        <f t="shared" si="15"/>
        <v>6666.666666666667</v>
      </c>
      <c r="AB9" s="52">
        <v>4</v>
      </c>
      <c r="AC9" s="52">
        <f t="shared" si="16"/>
        <v>2.666666666666667</v>
      </c>
      <c r="AD9" s="65">
        <v>0.9</v>
      </c>
      <c r="AE9" s="52">
        <f t="shared" si="17"/>
        <v>6.1664176139292257</v>
      </c>
      <c r="AF9" s="52">
        <v>20</v>
      </c>
      <c r="AG9" s="152">
        <f t="shared" si="18"/>
        <v>25</v>
      </c>
      <c r="AH9" s="149">
        <f t="shared" si="3"/>
        <v>1.5416044034823069</v>
      </c>
      <c r="AI9" s="152">
        <f t="shared" si="4"/>
        <v>25</v>
      </c>
      <c r="AJ9" s="368">
        <f t="shared" ref="AJ9" si="29">AH9-AH10</f>
        <v>0.22129190348230687</v>
      </c>
      <c r="AK9" s="318">
        <f t="shared" ref="AK9:AL9" si="30">ABS(AH9-AH10)/AH10</f>
        <v>0.16760570204577088</v>
      </c>
      <c r="AL9" s="316">
        <f t="shared" si="30"/>
        <v>0</v>
      </c>
      <c r="AM9" s="149">
        <f t="shared" si="5"/>
        <v>3.0832088069646137</v>
      </c>
      <c r="AN9" s="152">
        <f t="shared" si="6"/>
        <v>6.1664176139292257</v>
      </c>
      <c r="AO9" s="322">
        <f>AM9-AM10</f>
        <v>0.44258380696461375</v>
      </c>
      <c r="AP9" s="370">
        <f>ABS(AM9-AM10)/AM10</f>
        <v>0.16760570204577088</v>
      </c>
      <c r="AQ9" s="320">
        <f>AN9-AN10</f>
        <v>0.8851676139292266</v>
      </c>
      <c r="AR9" s="378">
        <f>ABS(AN9-AN10)/AN10</f>
        <v>0.16760570204577074</v>
      </c>
      <c r="AS9" s="218">
        <v>25</v>
      </c>
      <c r="AT9" s="219" t="s">
        <v>243</v>
      </c>
      <c r="AU9" s="219">
        <v>25</v>
      </c>
      <c r="AV9" s="219">
        <v>25</v>
      </c>
      <c r="AW9" s="219">
        <v>25</v>
      </c>
      <c r="AX9" s="219">
        <v>25</v>
      </c>
      <c r="AY9" s="220">
        <v>25</v>
      </c>
      <c r="AZ9" s="218" t="s">
        <v>243</v>
      </c>
      <c r="BA9" s="219">
        <v>2</v>
      </c>
      <c r="BB9" s="219" t="s">
        <v>243</v>
      </c>
      <c r="BC9" s="219">
        <v>2</v>
      </c>
      <c r="BD9" s="219" t="s">
        <v>243</v>
      </c>
      <c r="BE9" s="219">
        <v>2</v>
      </c>
      <c r="BF9" s="231" t="s">
        <v>243</v>
      </c>
      <c r="BG9" s="380">
        <f t="shared" ref="BG9" si="31">BA9-BA10</f>
        <v>0.27</v>
      </c>
      <c r="BH9" s="337">
        <f t="shared" ref="BH9" si="32">BG9*60</f>
        <v>16.200000000000003</v>
      </c>
    </row>
    <row r="10" spans="1:60" ht="16.5" customHeight="1" thickBot="1" x14ac:dyDescent="0.3">
      <c r="A10" s="166">
        <f t="shared" si="0"/>
        <v>126749.99999999999</v>
      </c>
      <c r="B10" s="367"/>
      <c r="C10" s="165">
        <v>4</v>
      </c>
      <c r="D10" s="150">
        <v>16.899999999999999</v>
      </c>
      <c r="E10" s="52" t="s">
        <v>150</v>
      </c>
      <c r="F10" s="69" t="s">
        <v>270</v>
      </c>
      <c r="G10" s="52">
        <v>0.75</v>
      </c>
      <c r="H10" s="59">
        <f t="shared" si="8"/>
        <v>12.674999999999999</v>
      </c>
      <c r="I10" s="52">
        <f t="shared" si="1"/>
        <v>12.674999999999999</v>
      </c>
      <c r="J10" s="52" t="s">
        <v>160</v>
      </c>
      <c r="K10" s="48">
        <v>22</v>
      </c>
      <c r="L10" s="48">
        <v>10</v>
      </c>
      <c r="M10" s="52">
        <v>20</v>
      </c>
      <c r="N10" s="52">
        <v>0</v>
      </c>
      <c r="O10" s="48">
        <v>17</v>
      </c>
      <c r="P10" s="64">
        <f t="shared" si="2"/>
        <v>2.4</v>
      </c>
      <c r="Q10" s="71">
        <v>0.2</v>
      </c>
      <c r="R10" s="59">
        <f t="shared" si="9"/>
        <v>0.48</v>
      </c>
      <c r="S10" s="59">
        <f t="shared" si="10"/>
        <v>4.8</v>
      </c>
      <c r="T10" s="59">
        <f t="shared" si="11"/>
        <v>2.640625</v>
      </c>
      <c r="U10" s="71">
        <v>0.4</v>
      </c>
      <c r="V10" s="59">
        <f t="shared" si="12"/>
        <v>0.96</v>
      </c>
      <c r="W10" s="59">
        <f t="shared" si="13"/>
        <v>9.6</v>
      </c>
      <c r="X10" s="59">
        <f t="shared" si="14"/>
        <v>1.3203125</v>
      </c>
      <c r="Y10" s="52">
        <v>3</v>
      </c>
      <c r="Z10" s="52">
        <v>0.5</v>
      </c>
      <c r="AA10" s="59">
        <f t="shared" si="15"/>
        <v>6666.666666666667</v>
      </c>
      <c r="AB10" s="52">
        <v>4</v>
      </c>
      <c r="AC10" s="59">
        <f t="shared" si="16"/>
        <v>2.666666666666667</v>
      </c>
      <c r="AD10" s="71">
        <v>0.9</v>
      </c>
      <c r="AE10" s="59">
        <f t="shared" si="17"/>
        <v>5.2812499999999991</v>
      </c>
      <c r="AF10" s="52">
        <v>20</v>
      </c>
      <c r="AG10" s="153">
        <f t="shared" si="18"/>
        <v>25</v>
      </c>
      <c r="AH10" s="150">
        <f t="shared" si="3"/>
        <v>1.3203125</v>
      </c>
      <c r="AI10" s="153">
        <f t="shared" si="4"/>
        <v>25</v>
      </c>
      <c r="AJ10" s="369"/>
      <c r="AK10" s="319"/>
      <c r="AL10" s="317"/>
      <c r="AM10" s="150">
        <f t="shared" si="5"/>
        <v>2.640625</v>
      </c>
      <c r="AN10" s="153">
        <f t="shared" si="6"/>
        <v>5.2812499999999991</v>
      </c>
      <c r="AO10" s="323"/>
      <c r="AP10" s="371"/>
      <c r="AQ10" s="321"/>
      <c r="AR10" s="379"/>
      <c r="AS10" s="222">
        <v>25</v>
      </c>
      <c r="AT10" s="223" t="s">
        <v>243</v>
      </c>
      <c r="AU10" s="223">
        <v>25</v>
      </c>
      <c r="AV10" s="223">
        <v>25</v>
      </c>
      <c r="AW10" s="223">
        <v>25</v>
      </c>
      <c r="AX10" s="223" t="s">
        <v>243</v>
      </c>
      <c r="AY10" s="224">
        <v>25</v>
      </c>
      <c r="AZ10" s="222" t="s">
        <v>243</v>
      </c>
      <c r="BA10" s="223">
        <v>1.73</v>
      </c>
      <c r="BB10" s="223" t="s">
        <v>243</v>
      </c>
      <c r="BC10" s="223">
        <v>1.73</v>
      </c>
      <c r="BD10" s="223" t="s">
        <v>243</v>
      </c>
      <c r="BE10" s="223">
        <v>1.73</v>
      </c>
      <c r="BF10" s="232" t="s">
        <v>243</v>
      </c>
      <c r="BG10" s="381"/>
      <c r="BH10" s="333"/>
    </row>
    <row r="17" ht="16.5" customHeight="1" x14ac:dyDescent="0.25"/>
    <row r="21" ht="16.5" customHeight="1" x14ac:dyDescent="0.25"/>
  </sheetData>
  <mergeCells count="67">
    <mergeCell ref="AP7:AP8"/>
    <mergeCell ref="AQ7:AQ8"/>
    <mergeCell ref="AR7:AR8"/>
    <mergeCell ref="BG7:BG8"/>
    <mergeCell ref="BH7:BH8"/>
    <mergeCell ref="B9:B10"/>
    <mergeCell ref="AJ9:AJ10"/>
    <mergeCell ref="AK9:AK10"/>
    <mergeCell ref="AL9:AL10"/>
    <mergeCell ref="AO9:AO10"/>
    <mergeCell ref="AP9:AP10"/>
    <mergeCell ref="AQ9:AQ10"/>
    <mergeCell ref="AR9:AR10"/>
    <mergeCell ref="BG9:BG10"/>
    <mergeCell ref="BH9:BH10"/>
    <mergeCell ref="B7:B8"/>
    <mergeCell ref="AJ7:AJ8"/>
    <mergeCell ref="AK7:AK8"/>
    <mergeCell ref="AL7:AL8"/>
    <mergeCell ref="AO7:AO8"/>
    <mergeCell ref="AP5:AP6"/>
    <mergeCell ref="AQ5:AQ6"/>
    <mergeCell ref="AR5:AR6"/>
    <mergeCell ref="BG5:BG6"/>
    <mergeCell ref="BH5:BH6"/>
    <mergeCell ref="B5:B6"/>
    <mergeCell ref="AJ5:AJ6"/>
    <mergeCell ref="AK5:AK6"/>
    <mergeCell ref="AL5:AL6"/>
    <mergeCell ref="AO5:AO6"/>
    <mergeCell ref="O1:O2"/>
    <mergeCell ref="P1:P2"/>
    <mergeCell ref="AR3:AR4"/>
    <mergeCell ref="BG3:BG4"/>
    <mergeCell ref="BH3:BH4"/>
    <mergeCell ref="L1:L2"/>
    <mergeCell ref="AP1:AR1"/>
    <mergeCell ref="AS1:AY1"/>
    <mergeCell ref="B3:B4"/>
    <mergeCell ref="AJ3:AJ4"/>
    <mergeCell ref="AK3:AK4"/>
    <mergeCell ref="AL3:AL4"/>
    <mergeCell ref="AO3:AO4"/>
    <mergeCell ref="AP3:AP4"/>
    <mergeCell ref="AQ3:AQ4"/>
    <mergeCell ref="AD1:AD2"/>
    <mergeCell ref="AE1:AE2"/>
    <mergeCell ref="AG1:AG2"/>
    <mergeCell ref="AH1:AI1"/>
    <mergeCell ref="AJ1:AL1"/>
    <mergeCell ref="AM1:AN1"/>
    <mergeCell ref="A1:A2"/>
    <mergeCell ref="B1:B2"/>
    <mergeCell ref="C1:C2"/>
    <mergeCell ref="D1:D2"/>
    <mergeCell ref="K1:K2"/>
    <mergeCell ref="AZ1:BH1"/>
    <mergeCell ref="Q1:Q2"/>
    <mergeCell ref="R1:R2"/>
    <mergeCell ref="S1:S2"/>
    <mergeCell ref="T1:T2"/>
    <mergeCell ref="U1:U2"/>
    <mergeCell ref="V1:V2"/>
    <mergeCell ref="W1:W2"/>
    <mergeCell ref="X1:X2"/>
    <mergeCell ref="AA1:AA2"/>
    <mergeCell ref="AC1:AC2"/>
  </mergeCells>
  <conditionalFormatting sqref="AZ3:BF10">
    <cfRule type="cellIs" dxfId="60" priority="76" operator="equal">
      <formula>"Nada"</formula>
    </cfRule>
  </conditionalFormatting>
  <conditionalFormatting sqref="AX4">
    <cfRule type="cellIs" dxfId="59" priority="42" operator="equal">
      <formula>"Nada"</formula>
    </cfRule>
  </conditionalFormatting>
  <conditionalFormatting sqref="AX3">
    <cfRule type="cellIs" dxfId="58" priority="40" operator="equal">
      <formula>"Nada"</formula>
    </cfRule>
  </conditionalFormatting>
  <conditionalFormatting sqref="AX5">
    <cfRule type="cellIs" dxfId="57" priority="38" operator="equal">
      <formula>"Nada"</formula>
    </cfRule>
  </conditionalFormatting>
  <conditionalFormatting sqref="AX6">
    <cfRule type="cellIs" dxfId="56" priority="37" operator="equal">
      <formula>"Nada"</formula>
    </cfRule>
  </conditionalFormatting>
  <conditionalFormatting sqref="AX8">
    <cfRule type="cellIs" dxfId="55" priority="32" operator="equal">
      <formula>"Nada"</formula>
    </cfRule>
  </conditionalFormatting>
  <conditionalFormatting sqref="AT4">
    <cfRule type="cellIs" dxfId="54" priority="27" operator="equal">
      <formula>"Nada"</formula>
    </cfRule>
  </conditionalFormatting>
  <conditionalFormatting sqref="AT3">
    <cfRule type="cellIs" dxfId="53" priority="26" operator="equal">
      <formula>"Nada"</formula>
    </cfRule>
  </conditionalFormatting>
  <conditionalFormatting sqref="AT5">
    <cfRule type="cellIs" dxfId="52" priority="25" operator="equal">
      <formula>"Nada"</formula>
    </cfRule>
  </conditionalFormatting>
  <conditionalFormatting sqref="AT6">
    <cfRule type="cellIs" dxfId="51" priority="24" operator="equal">
      <formula>"Nada"</formula>
    </cfRule>
  </conditionalFormatting>
  <conditionalFormatting sqref="AT7">
    <cfRule type="cellIs" dxfId="50" priority="23" operator="equal">
      <formula>"Nada"</formula>
    </cfRule>
  </conditionalFormatting>
  <conditionalFormatting sqref="AT8">
    <cfRule type="cellIs" dxfId="49" priority="22" operator="equal">
      <formula>"Nada"</formula>
    </cfRule>
  </conditionalFormatting>
  <conditionalFormatting sqref="AU5">
    <cfRule type="cellIs" dxfId="48" priority="11" operator="equal">
      <formula>"Nada"</formula>
    </cfRule>
  </conditionalFormatting>
  <conditionalFormatting sqref="AU6">
    <cfRule type="cellIs" dxfId="47" priority="10" operator="equal">
      <formula>"Nada"</formula>
    </cfRule>
  </conditionalFormatting>
  <conditionalFormatting sqref="AW5">
    <cfRule type="cellIs" dxfId="46" priority="9" operator="equal">
      <formula>"Nada"</formula>
    </cfRule>
  </conditionalFormatting>
  <conditionalFormatting sqref="AW6">
    <cfRule type="cellIs" dxfId="45" priority="8" operator="equal">
      <formula>"Nada"</formula>
    </cfRule>
  </conditionalFormatting>
  <conditionalFormatting sqref="AX10">
    <cfRule type="cellIs" dxfId="44" priority="3" operator="equal">
      <formula>"Nada"</formula>
    </cfRule>
  </conditionalFormatting>
  <conditionalFormatting sqref="AT9">
    <cfRule type="cellIs" dxfId="43" priority="2" operator="equal">
      <formula>"Nada"</formula>
    </cfRule>
  </conditionalFormatting>
  <conditionalFormatting sqref="AT10">
    <cfRule type="cellIs" dxfId="42" priority="1" operator="equal">
      <formula>"Nada"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68C5-9F7A-4ACC-A3BF-768F3A553FE2}">
  <dimension ref="A1:BH10"/>
  <sheetViews>
    <sheetView topLeftCell="AI1" workbookViewId="0">
      <selection activeCell="AN10" sqref="AM3:AN10"/>
    </sheetView>
  </sheetViews>
  <sheetFormatPr baseColWidth="10" defaultRowHeight="15" x14ac:dyDescent="0.25"/>
  <cols>
    <col min="45" max="60" width="10.7109375" customWidth="1"/>
  </cols>
  <sheetData>
    <row r="1" spans="1:60" ht="47.25" x14ac:dyDescent="0.25">
      <c r="A1" s="397" t="s">
        <v>245</v>
      </c>
      <c r="B1" s="397" t="s">
        <v>180</v>
      </c>
      <c r="C1" s="397" t="s">
        <v>244</v>
      </c>
      <c r="D1" s="396" t="s">
        <v>17</v>
      </c>
      <c r="E1" s="208" t="s">
        <v>168</v>
      </c>
      <c r="F1" s="208" t="s">
        <v>168</v>
      </c>
      <c r="G1" s="208"/>
      <c r="H1" s="208"/>
      <c r="I1" s="208" t="s">
        <v>229</v>
      </c>
      <c r="J1" s="208" t="s">
        <v>168</v>
      </c>
      <c r="K1" s="396" t="s">
        <v>18</v>
      </c>
      <c r="L1" s="396" t="s">
        <v>19</v>
      </c>
      <c r="M1" s="209" t="s">
        <v>169</v>
      </c>
      <c r="N1" s="209" t="s">
        <v>171</v>
      </c>
      <c r="O1" s="396" t="s">
        <v>22</v>
      </c>
      <c r="P1" s="396" t="s">
        <v>23</v>
      </c>
      <c r="Q1" s="393" t="s">
        <v>164</v>
      </c>
      <c r="R1" s="393" t="s">
        <v>28</v>
      </c>
      <c r="S1" s="393" t="s">
        <v>29</v>
      </c>
      <c r="T1" s="393" t="s">
        <v>30</v>
      </c>
      <c r="U1" s="394" t="s">
        <v>165</v>
      </c>
      <c r="V1" s="394" t="s">
        <v>28</v>
      </c>
      <c r="W1" s="394" t="s">
        <v>29</v>
      </c>
      <c r="X1" s="394" t="s">
        <v>30</v>
      </c>
      <c r="Y1" s="210" t="s">
        <v>47</v>
      </c>
      <c r="Z1" s="210" t="s">
        <v>166</v>
      </c>
      <c r="AA1" s="393" t="s">
        <v>36</v>
      </c>
      <c r="AB1" s="211" t="s">
        <v>167</v>
      </c>
      <c r="AC1" s="393" t="s">
        <v>38</v>
      </c>
      <c r="AD1" s="393" t="s">
        <v>39</v>
      </c>
      <c r="AE1" s="393" t="s">
        <v>262</v>
      </c>
      <c r="AF1" s="212" t="s">
        <v>172</v>
      </c>
      <c r="AG1" s="394" t="s">
        <v>263</v>
      </c>
      <c r="AH1" s="395" t="s">
        <v>230</v>
      </c>
      <c r="AI1" s="395"/>
      <c r="AJ1" s="395" t="s">
        <v>234</v>
      </c>
      <c r="AK1" s="395"/>
      <c r="AL1" s="395"/>
      <c r="AM1" s="346" t="s">
        <v>231</v>
      </c>
      <c r="AN1" s="346"/>
      <c r="AO1" s="204"/>
      <c r="AP1" s="346" t="s">
        <v>234</v>
      </c>
      <c r="AQ1" s="346"/>
      <c r="AR1" s="346"/>
      <c r="AS1" s="392" t="s">
        <v>273</v>
      </c>
      <c r="AT1" s="392"/>
      <c r="AU1" s="392"/>
      <c r="AV1" s="392"/>
      <c r="AW1" s="392"/>
      <c r="AX1" s="392"/>
      <c r="AY1" s="392"/>
      <c r="AZ1" s="326" t="s">
        <v>272</v>
      </c>
      <c r="BA1" s="326"/>
      <c r="BB1" s="326"/>
      <c r="BC1" s="326"/>
      <c r="BD1" s="326"/>
      <c r="BE1" s="326"/>
      <c r="BF1" s="326"/>
      <c r="BG1" s="326"/>
      <c r="BH1" s="326"/>
    </row>
    <row r="2" spans="1:60" ht="48" thickBot="1" x14ac:dyDescent="0.3">
      <c r="A2" s="398"/>
      <c r="B2" s="398"/>
      <c r="C2" s="398"/>
      <c r="D2" s="259"/>
      <c r="E2" s="192" t="s">
        <v>33</v>
      </c>
      <c r="F2" s="192" t="s">
        <v>152</v>
      </c>
      <c r="G2" s="192" t="s">
        <v>24</v>
      </c>
      <c r="H2" s="192" t="s">
        <v>25</v>
      </c>
      <c r="I2" s="192" t="s">
        <v>26</v>
      </c>
      <c r="J2" s="192" t="s">
        <v>32</v>
      </c>
      <c r="K2" s="259"/>
      <c r="L2" s="259"/>
      <c r="M2" s="10" t="s">
        <v>20</v>
      </c>
      <c r="N2" s="10" t="s">
        <v>21</v>
      </c>
      <c r="O2" s="259"/>
      <c r="P2" s="259"/>
      <c r="Q2" s="264"/>
      <c r="R2" s="264"/>
      <c r="S2" s="264"/>
      <c r="T2" s="264"/>
      <c r="U2" s="266"/>
      <c r="V2" s="266"/>
      <c r="W2" s="266"/>
      <c r="X2" s="266"/>
      <c r="Y2" s="193" t="s">
        <v>60</v>
      </c>
      <c r="Z2" s="193" t="s">
        <v>61</v>
      </c>
      <c r="AA2" s="264"/>
      <c r="AB2" s="76" t="s">
        <v>37</v>
      </c>
      <c r="AC2" s="264"/>
      <c r="AD2" s="264"/>
      <c r="AE2" s="264"/>
      <c r="AF2" s="77" t="s">
        <v>40</v>
      </c>
      <c r="AG2" s="266"/>
      <c r="AH2" s="213" t="s">
        <v>232</v>
      </c>
      <c r="AI2" s="213" t="s">
        <v>233</v>
      </c>
      <c r="AJ2" s="213" t="s">
        <v>232</v>
      </c>
      <c r="AK2" s="213" t="s">
        <v>232</v>
      </c>
      <c r="AL2" s="213" t="s">
        <v>233</v>
      </c>
      <c r="AM2" s="207" t="s">
        <v>232</v>
      </c>
      <c r="AN2" s="207" t="s">
        <v>233</v>
      </c>
      <c r="AO2" s="207" t="s">
        <v>235</v>
      </c>
      <c r="AP2" s="207" t="s">
        <v>232</v>
      </c>
      <c r="AQ2" s="207" t="s">
        <v>235</v>
      </c>
      <c r="AR2" s="207" t="s">
        <v>233</v>
      </c>
      <c r="AS2" s="216" t="s">
        <v>236</v>
      </c>
      <c r="AT2" s="216" t="s">
        <v>237</v>
      </c>
      <c r="AU2" s="216" t="s">
        <v>238</v>
      </c>
      <c r="AV2" s="216" t="s">
        <v>239</v>
      </c>
      <c r="AW2" s="216" t="s">
        <v>240</v>
      </c>
      <c r="AX2" s="216" t="s">
        <v>241</v>
      </c>
      <c r="AY2" s="216" t="s">
        <v>242</v>
      </c>
      <c r="AZ2" s="217" t="s">
        <v>236</v>
      </c>
      <c r="BA2" s="217" t="s">
        <v>237</v>
      </c>
      <c r="BB2" s="217" t="s">
        <v>238</v>
      </c>
      <c r="BC2" s="217" t="s">
        <v>239</v>
      </c>
      <c r="BD2" s="217" t="s">
        <v>240</v>
      </c>
      <c r="BE2" s="217" t="s">
        <v>241</v>
      </c>
      <c r="BF2" s="217" t="s">
        <v>242</v>
      </c>
      <c r="BG2" s="217" t="s">
        <v>180</v>
      </c>
      <c r="BH2" s="217" t="s">
        <v>271</v>
      </c>
    </row>
    <row r="3" spans="1:60" ht="16.5" customHeight="1" x14ac:dyDescent="0.25">
      <c r="A3" s="214">
        <f>H3*10000</f>
        <v>171000</v>
      </c>
      <c r="B3" s="388">
        <f>A3-A4</f>
        <v>-6675.0000000000291</v>
      </c>
      <c r="C3" s="163">
        <v>1</v>
      </c>
      <c r="D3" s="52">
        <v>22.8</v>
      </c>
      <c r="E3" s="52" t="s">
        <v>150</v>
      </c>
      <c r="F3" s="69" t="s">
        <v>270</v>
      </c>
      <c r="G3" s="52">
        <v>0.75</v>
      </c>
      <c r="H3" s="52">
        <f>D3*G3</f>
        <v>17.100000000000001</v>
      </c>
      <c r="I3" s="52">
        <f>H3</f>
        <v>17.100000000000001</v>
      </c>
      <c r="J3" s="52" t="s">
        <v>158</v>
      </c>
      <c r="K3" s="48">
        <v>8</v>
      </c>
      <c r="L3" s="48">
        <v>4</v>
      </c>
      <c r="M3" s="52">
        <v>20</v>
      </c>
      <c r="N3" s="52">
        <v>0</v>
      </c>
      <c r="O3" s="48">
        <v>8</v>
      </c>
      <c r="P3" s="64">
        <f>((K3-L3)/100)*M3*(1-(N3/100))</f>
        <v>0.8</v>
      </c>
      <c r="Q3" s="65">
        <v>0.2</v>
      </c>
      <c r="R3" s="52">
        <f>P3*Q3</f>
        <v>0.16000000000000003</v>
      </c>
      <c r="S3" s="52">
        <f>R3*10</f>
        <v>1.6000000000000003</v>
      </c>
      <c r="T3" s="52">
        <f>I3/S3</f>
        <v>10.687499999999998</v>
      </c>
      <c r="U3" s="65">
        <v>0.4</v>
      </c>
      <c r="V3" s="52">
        <f>P3*U3</f>
        <v>0.32000000000000006</v>
      </c>
      <c r="W3" s="52">
        <f>V3*10</f>
        <v>3.2000000000000006</v>
      </c>
      <c r="X3" s="52">
        <f>I3/W3</f>
        <v>5.3437499999999991</v>
      </c>
      <c r="Y3" s="52">
        <v>3</v>
      </c>
      <c r="Z3" s="52">
        <v>0.5</v>
      </c>
      <c r="AA3" s="52">
        <f>10000/(Y3*Z3)</f>
        <v>6666.666666666667</v>
      </c>
      <c r="AB3" s="52">
        <v>4</v>
      </c>
      <c r="AC3" s="52">
        <f>AA3*AB3/10000</f>
        <v>2.666666666666667</v>
      </c>
      <c r="AD3" s="65">
        <v>0.9</v>
      </c>
      <c r="AE3" s="52">
        <f>I3/(AC3*AD3)</f>
        <v>7.1249999999999991</v>
      </c>
      <c r="AF3" s="52">
        <v>20</v>
      </c>
      <c r="AG3" s="52">
        <f>5*AF3/4</f>
        <v>25</v>
      </c>
      <c r="AH3" s="52">
        <f>X3</f>
        <v>5.3437499999999991</v>
      </c>
      <c r="AI3" s="52">
        <f>AG3</f>
        <v>25</v>
      </c>
      <c r="AJ3" s="386">
        <f>AH3-AH4</f>
        <v>-0.20859375000000036</v>
      </c>
      <c r="AK3" s="305">
        <f>ABS(AH3-AH4)/AH4</f>
        <v>3.7568594343604961E-2</v>
      </c>
      <c r="AL3" s="305">
        <f>ABS(AI3-AI4)/AI4</f>
        <v>0</v>
      </c>
      <c r="AM3" s="52">
        <f>T3</f>
        <v>10.687499999999998</v>
      </c>
      <c r="AN3" s="52">
        <f>AE3</f>
        <v>7.1249999999999991</v>
      </c>
      <c r="AO3" s="390">
        <f>AM3-AM4</f>
        <v>-0.41718750000000071</v>
      </c>
      <c r="AP3" s="305">
        <f>ABS(AM3-AM4)/AM4</f>
        <v>3.7568594343604961E-2</v>
      </c>
      <c r="AQ3" s="386">
        <f>AN3-AN4</f>
        <v>-0.27812500000000018</v>
      </c>
      <c r="AR3" s="347">
        <f>ABS(AN3-AN4)/AN4</f>
        <v>3.7568594343604926E-2</v>
      </c>
      <c r="AS3" s="218">
        <v>25</v>
      </c>
      <c r="AT3" s="219">
        <v>25</v>
      </c>
      <c r="AU3" s="219" t="s">
        <v>243</v>
      </c>
      <c r="AV3" s="219">
        <v>25</v>
      </c>
      <c r="AW3" s="219" t="s">
        <v>243</v>
      </c>
      <c r="AX3" s="219">
        <v>25</v>
      </c>
      <c r="AY3" s="231">
        <v>25</v>
      </c>
      <c r="AZ3" s="218">
        <v>1</v>
      </c>
      <c r="BA3" s="219">
        <v>1</v>
      </c>
      <c r="BB3" s="219">
        <v>1</v>
      </c>
      <c r="BC3" s="219">
        <v>1</v>
      </c>
      <c r="BD3" s="219">
        <v>1</v>
      </c>
      <c r="BE3" s="219">
        <v>1</v>
      </c>
      <c r="BF3" s="231">
        <v>1</v>
      </c>
      <c r="BG3" s="382">
        <f>BF3-BF4</f>
        <v>0</v>
      </c>
      <c r="BH3" s="384">
        <f>BG3*0.6</f>
        <v>0</v>
      </c>
    </row>
    <row r="4" spans="1:60" ht="16.5" customHeight="1" thickBot="1" x14ac:dyDescent="0.3">
      <c r="A4" s="215">
        <f t="shared" ref="A4:A10" si="0">H4*10000</f>
        <v>177675.00000000003</v>
      </c>
      <c r="B4" s="389"/>
      <c r="C4" s="164">
        <v>1</v>
      </c>
      <c r="D4" s="59">
        <v>23.69</v>
      </c>
      <c r="E4" s="59" t="s">
        <v>150</v>
      </c>
      <c r="F4" s="68" t="s">
        <v>270</v>
      </c>
      <c r="G4" s="59">
        <v>0.75</v>
      </c>
      <c r="H4" s="59">
        <f>D4*G4</f>
        <v>17.767500000000002</v>
      </c>
      <c r="I4" s="59">
        <f t="shared" ref="I4:I10" si="1">H4</f>
        <v>17.767500000000002</v>
      </c>
      <c r="J4" s="59" t="s">
        <v>158</v>
      </c>
      <c r="K4" s="55">
        <v>8</v>
      </c>
      <c r="L4" s="55">
        <v>4</v>
      </c>
      <c r="M4" s="59">
        <v>20</v>
      </c>
      <c r="N4" s="59">
        <v>0</v>
      </c>
      <c r="O4" s="55">
        <v>8</v>
      </c>
      <c r="P4" s="70">
        <f t="shared" ref="P4:P10" si="2">((K4-L4)/100)*M4*(1-(N4/100))</f>
        <v>0.8</v>
      </c>
      <c r="Q4" s="71">
        <v>0.2</v>
      </c>
      <c r="R4" s="59">
        <f>P4*Q4</f>
        <v>0.16000000000000003</v>
      </c>
      <c r="S4" s="59">
        <f>R4*10</f>
        <v>1.6000000000000003</v>
      </c>
      <c r="T4" s="59">
        <f>I4/S4</f>
        <v>11.104687499999999</v>
      </c>
      <c r="U4" s="71">
        <v>0.4</v>
      </c>
      <c r="V4" s="59">
        <f>P4*U4</f>
        <v>0.32000000000000006</v>
      </c>
      <c r="W4" s="59">
        <f>V4*10</f>
        <v>3.2000000000000006</v>
      </c>
      <c r="X4" s="59">
        <f>I4/W4</f>
        <v>5.5523437499999995</v>
      </c>
      <c r="Y4" s="59">
        <v>3</v>
      </c>
      <c r="Z4" s="59">
        <v>0.5</v>
      </c>
      <c r="AA4" s="59">
        <f>10000/(Y4*Z4)</f>
        <v>6666.666666666667</v>
      </c>
      <c r="AB4" s="59">
        <v>4</v>
      </c>
      <c r="AC4" s="59">
        <f>AA4*AB4/10000</f>
        <v>2.666666666666667</v>
      </c>
      <c r="AD4" s="71">
        <v>0.9</v>
      </c>
      <c r="AE4" s="59">
        <f>I4/(AC4*AD4)</f>
        <v>7.4031249999999993</v>
      </c>
      <c r="AF4" s="59">
        <v>20</v>
      </c>
      <c r="AG4" s="59">
        <f>5*AF4/4</f>
        <v>25</v>
      </c>
      <c r="AH4" s="59">
        <f t="shared" ref="AH4:AH10" si="3">X4</f>
        <v>5.5523437499999995</v>
      </c>
      <c r="AI4" s="59">
        <f t="shared" ref="AI4:AI10" si="4">AG4</f>
        <v>25</v>
      </c>
      <c r="AJ4" s="387"/>
      <c r="AK4" s="306"/>
      <c r="AL4" s="306"/>
      <c r="AM4" s="59">
        <f t="shared" ref="AM4:AM10" si="5">T4</f>
        <v>11.104687499999999</v>
      </c>
      <c r="AN4" s="59">
        <f t="shared" ref="AN4:AN10" si="6">AE4</f>
        <v>7.4031249999999993</v>
      </c>
      <c r="AO4" s="391"/>
      <c r="AP4" s="306"/>
      <c r="AQ4" s="387"/>
      <c r="AR4" s="348"/>
      <c r="AS4" s="222">
        <v>25</v>
      </c>
      <c r="AT4" s="223">
        <v>25</v>
      </c>
      <c r="AU4" s="223">
        <v>25</v>
      </c>
      <c r="AV4" s="223" t="s">
        <v>243</v>
      </c>
      <c r="AW4" s="223">
        <v>25</v>
      </c>
      <c r="AX4" s="223">
        <v>25</v>
      </c>
      <c r="AY4" s="232">
        <v>25</v>
      </c>
      <c r="AZ4" s="222">
        <v>1</v>
      </c>
      <c r="BA4" s="223">
        <v>1</v>
      </c>
      <c r="BB4" s="223">
        <v>1</v>
      </c>
      <c r="BC4" s="223">
        <v>1</v>
      </c>
      <c r="BD4" s="223">
        <v>1</v>
      </c>
      <c r="BE4" s="223">
        <v>1</v>
      </c>
      <c r="BF4" s="232">
        <v>1</v>
      </c>
      <c r="BG4" s="383"/>
      <c r="BH4" s="385"/>
    </row>
    <row r="5" spans="1:60" ht="16.5" customHeight="1" x14ac:dyDescent="0.25">
      <c r="A5" s="214">
        <f t="shared" si="0"/>
        <v>156709.87765502158</v>
      </c>
      <c r="B5" s="388">
        <f t="shared" ref="B5" si="7">A5-A6</f>
        <v>1309.8776550215844</v>
      </c>
      <c r="C5" s="163">
        <v>2</v>
      </c>
      <c r="D5" s="52">
        <v>20.894650354002877</v>
      </c>
      <c r="E5" s="52" t="s">
        <v>150</v>
      </c>
      <c r="F5" s="69" t="s">
        <v>270</v>
      </c>
      <c r="G5" s="52">
        <v>0.75</v>
      </c>
      <c r="H5" s="52">
        <f t="shared" ref="H5:H10" si="8">D5*G5</f>
        <v>15.670987765502158</v>
      </c>
      <c r="I5" s="52">
        <f t="shared" si="1"/>
        <v>15.670987765502158</v>
      </c>
      <c r="J5" s="52" t="s">
        <v>158</v>
      </c>
      <c r="K5" s="48">
        <v>8</v>
      </c>
      <c r="L5" s="48">
        <v>4</v>
      </c>
      <c r="M5" s="52">
        <v>20</v>
      </c>
      <c r="N5" s="52">
        <v>0</v>
      </c>
      <c r="O5" s="48">
        <v>8</v>
      </c>
      <c r="P5" s="64">
        <f t="shared" si="2"/>
        <v>0.8</v>
      </c>
      <c r="Q5" s="65">
        <v>0.2</v>
      </c>
      <c r="R5" s="52">
        <f t="shared" ref="R5:R10" si="9">P5*Q5</f>
        <v>0.16000000000000003</v>
      </c>
      <c r="S5" s="52">
        <f t="shared" ref="S5:S10" si="10">R5*10</f>
        <v>1.6000000000000003</v>
      </c>
      <c r="T5" s="52">
        <f t="shared" ref="T5:T10" si="11">I5/S5</f>
        <v>9.7943673534388473</v>
      </c>
      <c r="U5" s="65">
        <v>0.4</v>
      </c>
      <c r="V5" s="52">
        <f t="shared" ref="V5:V10" si="12">P5*U5</f>
        <v>0.32000000000000006</v>
      </c>
      <c r="W5" s="52">
        <f t="shared" ref="W5:W10" si="13">V5*10</f>
        <v>3.2000000000000006</v>
      </c>
      <c r="X5" s="52">
        <f t="shared" ref="X5:X10" si="14">I5/W5</f>
        <v>4.8971836767194237</v>
      </c>
      <c r="Y5" s="52">
        <v>3</v>
      </c>
      <c r="Z5" s="52">
        <v>0.5</v>
      </c>
      <c r="AA5" s="52">
        <f t="shared" ref="AA5:AA10" si="15">10000/(Y5*Z5)</f>
        <v>6666.666666666667</v>
      </c>
      <c r="AB5" s="52">
        <v>4</v>
      </c>
      <c r="AC5" s="52">
        <f t="shared" ref="AC5:AC10" si="16">AA5*AB5/10000</f>
        <v>2.666666666666667</v>
      </c>
      <c r="AD5" s="65">
        <v>0.9</v>
      </c>
      <c r="AE5" s="52">
        <f t="shared" ref="AE5:AE10" si="17">I5/(AC5*AD5)</f>
        <v>6.5295782356258982</v>
      </c>
      <c r="AF5" s="52">
        <v>20</v>
      </c>
      <c r="AG5" s="52">
        <f t="shared" ref="AG5:AG10" si="18">5*AF5/4</f>
        <v>25</v>
      </c>
      <c r="AH5" s="52">
        <f t="shared" si="3"/>
        <v>4.8971836767194237</v>
      </c>
      <c r="AI5" s="52">
        <f t="shared" si="4"/>
        <v>25</v>
      </c>
      <c r="AJ5" s="386">
        <f t="shared" ref="AJ5" si="19">AH5-AH6</f>
        <v>4.0933676719425272E-2</v>
      </c>
      <c r="AK5" s="305">
        <f t="shared" ref="AK5:AL5" si="20">ABS(AH5-AH6)/AH6</f>
        <v>8.4290711391351945E-3</v>
      </c>
      <c r="AL5" s="305">
        <f t="shared" si="20"/>
        <v>0</v>
      </c>
      <c r="AM5" s="52">
        <f t="shared" si="5"/>
        <v>9.7943673534388473</v>
      </c>
      <c r="AN5" s="52">
        <f t="shared" si="6"/>
        <v>6.5295782356258982</v>
      </c>
      <c r="AO5" s="390">
        <f>AM5-AM6</f>
        <v>8.1867353438850543E-2</v>
      </c>
      <c r="AP5" s="305">
        <f>ABS(AM5-AM6)/AM6</f>
        <v>8.4290711391351945E-3</v>
      </c>
      <c r="AQ5" s="386">
        <f>AN5-AN6</f>
        <v>5.4578235625899474E-2</v>
      </c>
      <c r="AR5" s="347">
        <f>ABS(AN5-AN6)/AN6</f>
        <v>8.4290711391350557E-3</v>
      </c>
      <c r="AS5" s="218">
        <v>25</v>
      </c>
      <c r="AT5" s="219">
        <v>25</v>
      </c>
      <c r="AU5" s="219" t="s">
        <v>243</v>
      </c>
      <c r="AV5" s="219">
        <v>25</v>
      </c>
      <c r="AW5" s="219" t="s">
        <v>243</v>
      </c>
      <c r="AX5" s="219">
        <v>25</v>
      </c>
      <c r="AY5" s="231">
        <v>25</v>
      </c>
      <c r="AZ5" s="218">
        <v>0.92</v>
      </c>
      <c r="BA5" s="219">
        <v>0.92</v>
      </c>
      <c r="BB5" s="219">
        <v>0.92</v>
      </c>
      <c r="BC5" s="219">
        <v>0.92</v>
      </c>
      <c r="BD5" s="219">
        <v>0.92</v>
      </c>
      <c r="BE5" s="219">
        <v>0.92</v>
      </c>
      <c r="BF5" s="231">
        <v>0.92</v>
      </c>
      <c r="BG5" s="382">
        <f t="shared" ref="BG5" si="21">BF5-BF6</f>
        <v>1.0000000000000009E-2</v>
      </c>
      <c r="BH5" s="384">
        <f>BG5*60</f>
        <v>0.60000000000000053</v>
      </c>
    </row>
    <row r="6" spans="1:60" ht="16.5" customHeight="1" thickBot="1" x14ac:dyDescent="0.3">
      <c r="A6" s="215">
        <f t="shared" si="0"/>
        <v>155400</v>
      </c>
      <c r="B6" s="389"/>
      <c r="C6" s="164">
        <v>2</v>
      </c>
      <c r="D6" s="59">
        <v>20.72</v>
      </c>
      <c r="E6" s="59" t="s">
        <v>150</v>
      </c>
      <c r="F6" s="68" t="s">
        <v>270</v>
      </c>
      <c r="G6" s="59">
        <v>0.75</v>
      </c>
      <c r="H6" s="59">
        <f t="shared" si="8"/>
        <v>15.54</v>
      </c>
      <c r="I6" s="59">
        <f t="shared" si="1"/>
        <v>15.54</v>
      </c>
      <c r="J6" s="59" t="s">
        <v>158</v>
      </c>
      <c r="K6" s="55">
        <v>8</v>
      </c>
      <c r="L6" s="55">
        <v>4</v>
      </c>
      <c r="M6" s="59">
        <v>20</v>
      </c>
      <c r="N6" s="59">
        <v>0</v>
      </c>
      <c r="O6" s="55">
        <v>8</v>
      </c>
      <c r="P6" s="70">
        <f t="shared" si="2"/>
        <v>0.8</v>
      </c>
      <c r="Q6" s="71">
        <v>0.2</v>
      </c>
      <c r="R6" s="59">
        <f t="shared" si="9"/>
        <v>0.16000000000000003</v>
      </c>
      <c r="S6" s="59">
        <f t="shared" si="10"/>
        <v>1.6000000000000003</v>
      </c>
      <c r="T6" s="59">
        <f t="shared" si="11"/>
        <v>9.7124999999999968</v>
      </c>
      <c r="U6" s="71">
        <v>0.4</v>
      </c>
      <c r="V6" s="59">
        <f t="shared" si="12"/>
        <v>0.32000000000000006</v>
      </c>
      <c r="W6" s="59">
        <f t="shared" si="13"/>
        <v>3.2000000000000006</v>
      </c>
      <c r="X6" s="59">
        <f t="shared" si="14"/>
        <v>4.8562499999999984</v>
      </c>
      <c r="Y6" s="59">
        <v>3</v>
      </c>
      <c r="Z6" s="59">
        <v>0.5</v>
      </c>
      <c r="AA6" s="59">
        <f t="shared" si="15"/>
        <v>6666.666666666667</v>
      </c>
      <c r="AB6" s="59">
        <v>4</v>
      </c>
      <c r="AC6" s="59">
        <f t="shared" si="16"/>
        <v>2.666666666666667</v>
      </c>
      <c r="AD6" s="71">
        <v>0.9</v>
      </c>
      <c r="AE6" s="59">
        <f t="shared" si="17"/>
        <v>6.4749999999999988</v>
      </c>
      <c r="AF6" s="59">
        <v>20</v>
      </c>
      <c r="AG6" s="59">
        <f t="shared" si="18"/>
        <v>25</v>
      </c>
      <c r="AH6" s="59">
        <f t="shared" si="3"/>
        <v>4.8562499999999984</v>
      </c>
      <c r="AI6" s="59">
        <f t="shared" si="4"/>
        <v>25</v>
      </c>
      <c r="AJ6" s="387"/>
      <c r="AK6" s="306"/>
      <c r="AL6" s="306"/>
      <c r="AM6" s="59">
        <f t="shared" si="5"/>
        <v>9.7124999999999968</v>
      </c>
      <c r="AN6" s="59">
        <f t="shared" si="6"/>
        <v>6.4749999999999988</v>
      </c>
      <c r="AO6" s="391"/>
      <c r="AP6" s="306"/>
      <c r="AQ6" s="387"/>
      <c r="AR6" s="348"/>
      <c r="AS6" s="222">
        <v>25</v>
      </c>
      <c r="AT6" s="223">
        <v>25</v>
      </c>
      <c r="AU6" s="223" t="s">
        <v>243</v>
      </c>
      <c r="AV6" s="223">
        <v>25</v>
      </c>
      <c r="AW6" s="223" t="s">
        <v>243</v>
      </c>
      <c r="AX6" s="223">
        <v>25</v>
      </c>
      <c r="AY6" s="232">
        <v>25</v>
      </c>
      <c r="AZ6" s="222">
        <v>0.91</v>
      </c>
      <c r="BA6" s="223">
        <v>0.91</v>
      </c>
      <c r="BB6" s="223">
        <v>0.91</v>
      </c>
      <c r="BC6" s="223">
        <v>0.91</v>
      </c>
      <c r="BD6" s="223">
        <v>0.91</v>
      </c>
      <c r="BE6" s="223">
        <v>0.91</v>
      </c>
      <c r="BF6" s="232">
        <v>0.91</v>
      </c>
      <c r="BG6" s="383"/>
      <c r="BH6" s="385"/>
    </row>
    <row r="7" spans="1:60" ht="16.5" customHeight="1" x14ac:dyDescent="0.25">
      <c r="A7" s="214">
        <f t="shared" si="0"/>
        <v>149476.61830554195</v>
      </c>
      <c r="B7" s="388">
        <f t="shared" ref="B7" si="22">A7-A8</f>
        <v>19051.618305541953</v>
      </c>
      <c r="C7" s="163">
        <v>3</v>
      </c>
      <c r="D7" s="52">
        <v>19.930215774072259</v>
      </c>
      <c r="E7" s="52" t="s">
        <v>150</v>
      </c>
      <c r="F7" s="69" t="s">
        <v>270</v>
      </c>
      <c r="G7" s="52">
        <v>0.75</v>
      </c>
      <c r="H7" s="52">
        <f t="shared" si="8"/>
        <v>14.947661830554194</v>
      </c>
      <c r="I7" s="52">
        <f t="shared" si="1"/>
        <v>14.947661830554194</v>
      </c>
      <c r="J7" s="52" t="s">
        <v>158</v>
      </c>
      <c r="K7" s="48">
        <v>8</v>
      </c>
      <c r="L7" s="48">
        <v>4</v>
      </c>
      <c r="M7" s="52">
        <v>20</v>
      </c>
      <c r="N7" s="52">
        <v>0</v>
      </c>
      <c r="O7" s="48">
        <v>8</v>
      </c>
      <c r="P7" s="64">
        <f t="shared" si="2"/>
        <v>0.8</v>
      </c>
      <c r="Q7" s="65">
        <v>0.2</v>
      </c>
      <c r="R7" s="52">
        <f t="shared" si="9"/>
        <v>0.16000000000000003</v>
      </c>
      <c r="S7" s="52">
        <f t="shared" si="10"/>
        <v>1.6000000000000003</v>
      </c>
      <c r="T7" s="52">
        <f t="shared" si="11"/>
        <v>9.3422886440963691</v>
      </c>
      <c r="U7" s="65">
        <v>0.4</v>
      </c>
      <c r="V7" s="52">
        <f t="shared" si="12"/>
        <v>0.32000000000000006</v>
      </c>
      <c r="W7" s="52">
        <f t="shared" si="13"/>
        <v>3.2000000000000006</v>
      </c>
      <c r="X7" s="52">
        <f t="shared" si="14"/>
        <v>4.6711443220481845</v>
      </c>
      <c r="Y7" s="52">
        <v>3</v>
      </c>
      <c r="Z7" s="52">
        <v>0.5</v>
      </c>
      <c r="AA7" s="52">
        <f t="shared" si="15"/>
        <v>6666.666666666667</v>
      </c>
      <c r="AB7" s="52">
        <v>4</v>
      </c>
      <c r="AC7" s="52">
        <f t="shared" si="16"/>
        <v>2.666666666666667</v>
      </c>
      <c r="AD7" s="65">
        <v>0.9</v>
      </c>
      <c r="AE7" s="52">
        <f t="shared" si="17"/>
        <v>6.2281924293975797</v>
      </c>
      <c r="AF7" s="52">
        <v>20</v>
      </c>
      <c r="AG7" s="52">
        <f t="shared" si="18"/>
        <v>25</v>
      </c>
      <c r="AH7" s="52">
        <f t="shared" si="3"/>
        <v>4.6711443220481845</v>
      </c>
      <c r="AI7" s="52">
        <f t="shared" si="4"/>
        <v>25</v>
      </c>
      <c r="AJ7" s="386">
        <f t="shared" ref="AJ7" si="23">AH7-AH8</f>
        <v>0.59536307204818506</v>
      </c>
      <c r="AK7" s="305">
        <f t="shared" ref="AK7:AL7" si="24">ABS(AH7-AH8)/AH8</f>
        <v>0.14607336251134309</v>
      </c>
      <c r="AL7" s="305">
        <f t="shared" si="24"/>
        <v>0</v>
      </c>
      <c r="AM7" s="52">
        <f t="shared" si="5"/>
        <v>9.3422886440963691</v>
      </c>
      <c r="AN7" s="52">
        <f t="shared" si="6"/>
        <v>6.2281924293975797</v>
      </c>
      <c r="AO7" s="390">
        <f>AM7-AM8</f>
        <v>1.1907261440963701</v>
      </c>
      <c r="AP7" s="305">
        <f>ABS(AM7-AM8)/AM8</f>
        <v>0.14607336251134309</v>
      </c>
      <c r="AQ7" s="386">
        <f>AN7-AN8</f>
        <v>0.79381742939758038</v>
      </c>
      <c r="AR7" s="347">
        <f>ABS(AN7-AN8)/AN8</f>
        <v>0.14607336251134315</v>
      </c>
      <c r="AS7" s="218">
        <v>25</v>
      </c>
      <c r="AT7" s="219">
        <v>25</v>
      </c>
      <c r="AU7" s="219" t="s">
        <v>243</v>
      </c>
      <c r="AV7" s="219">
        <v>25</v>
      </c>
      <c r="AW7" s="219" t="s">
        <v>243</v>
      </c>
      <c r="AX7" s="219">
        <v>25</v>
      </c>
      <c r="AY7" s="231">
        <v>25</v>
      </c>
      <c r="AZ7" s="218">
        <v>0.88</v>
      </c>
      <c r="BA7" s="219">
        <v>0.88</v>
      </c>
      <c r="BB7" s="219">
        <v>0.88</v>
      </c>
      <c r="BC7" s="219">
        <v>0.88</v>
      </c>
      <c r="BD7" s="219">
        <v>0.88</v>
      </c>
      <c r="BE7" s="219">
        <v>0.88</v>
      </c>
      <c r="BF7" s="231">
        <v>0.88</v>
      </c>
      <c r="BG7" s="382">
        <f t="shared" ref="BG7" si="25">BF7-BF8</f>
        <v>0.10999999999999999</v>
      </c>
      <c r="BH7" s="384">
        <f t="shared" ref="BH7" si="26">BG7*60</f>
        <v>6.6</v>
      </c>
    </row>
    <row r="8" spans="1:60" ht="16.5" customHeight="1" thickBot="1" x14ac:dyDescent="0.3">
      <c r="A8" s="215">
        <f t="shared" si="0"/>
        <v>130425</v>
      </c>
      <c r="B8" s="389"/>
      <c r="C8" s="164">
        <v>3</v>
      </c>
      <c r="D8" s="59">
        <v>17.39</v>
      </c>
      <c r="E8" s="59" t="s">
        <v>150</v>
      </c>
      <c r="F8" s="68" t="s">
        <v>270</v>
      </c>
      <c r="G8" s="59">
        <v>0.75</v>
      </c>
      <c r="H8" s="59">
        <f t="shared" si="8"/>
        <v>13.0425</v>
      </c>
      <c r="I8" s="59">
        <f t="shared" si="1"/>
        <v>13.0425</v>
      </c>
      <c r="J8" s="59" t="s">
        <v>158</v>
      </c>
      <c r="K8" s="55">
        <v>8</v>
      </c>
      <c r="L8" s="55">
        <v>4</v>
      </c>
      <c r="M8" s="59">
        <v>20</v>
      </c>
      <c r="N8" s="59">
        <v>0</v>
      </c>
      <c r="O8" s="55">
        <v>8</v>
      </c>
      <c r="P8" s="70">
        <f t="shared" si="2"/>
        <v>0.8</v>
      </c>
      <c r="Q8" s="71">
        <v>0.2</v>
      </c>
      <c r="R8" s="59">
        <f t="shared" si="9"/>
        <v>0.16000000000000003</v>
      </c>
      <c r="S8" s="59">
        <f t="shared" si="10"/>
        <v>1.6000000000000003</v>
      </c>
      <c r="T8" s="59">
        <f t="shared" si="11"/>
        <v>8.1515624999999989</v>
      </c>
      <c r="U8" s="71">
        <v>0.4</v>
      </c>
      <c r="V8" s="59">
        <f t="shared" si="12"/>
        <v>0.32000000000000006</v>
      </c>
      <c r="W8" s="59">
        <f t="shared" si="13"/>
        <v>3.2000000000000006</v>
      </c>
      <c r="X8" s="59">
        <f t="shared" si="14"/>
        <v>4.0757812499999995</v>
      </c>
      <c r="Y8" s="59">
        <v>3</v>
      </c>
      <c r="Z8" s="59">
        <v>0.5</v>
      </c>
      <c r="AA8" s="59">
        <f t="shared" si="15"/>
        <v>6666.666666666667</v>
      </c>
      <c r="AB8" s="59">
        <v>4</v>
      </c>
      <c r="AC8" s="59">
        <f t="shared" si="16"/>
        <v>2.666666666666667</v>
      </c>
      <c r="AD8" s="71">
        <v>0.9</v>
      </c>
      <c r="AE8" s="59">
        <f t="shared" si="17"/>
        <v>5.4343749999999993</v>
      </c>
      <c r="AF8" s="59">
        <v>20</v>
      </c>
      <c r="AG8" s="59">
        <f t="shared" si="18"/>
        <v>25</v>
      </c>
      <c r="AH8" s="59">
        <f t="shared" si="3"/>
        <v>4.0757812499999995</v>
      </c>
      <c r="AI8" s="59">
        <f t="shared" si="4"/>
        <v>25</v>
      </c>
      <c r="AJ8" s="387"/>
      <c r="AK8" s="306"/>
      <c r="AL8" s="306"/>
      <c r="AM8" s="59">
        <f t="shared" si="5"/>
        <v>8.1515624999999989</v>
      </c>
      <c r="AN8" s="59">
        <f t="shared" si="6"/>
        <v>5.4343749999999993</v>
      </c>
      <c r="AO8" s="391"/>
      <c r="AP8" s="306"/>
      <c r="AQ8" s="387"/>
      <c r="AR8" s="348"/>
      <c r="AS8" s="222">
        <v>25</v>
      </c>
      <c r="AT8" s="223" t="s">
        <v>243</v>
      </c>
      <c r="AU8" s="223">
        <v>25</v>
      </c>
      <c r="AV8" s="223" t="s">
        <v>243</v>
      </c>
      <c r="AW8" s="223">
        <v>25</v>
      </c>
      <c r="AX8" s="223" t="s">
        <v>243</v>
      </c>
      <c r="AY8" s="232">
        <v>25</v>
      </c>
      <c r="AZ8" s="222">
        <v>0.77</v>
      </c>
      <c r="BA8" s="223">
        <v>0.77</v>
      </c>
      <c r="BB8" s="223">
        <v>0.77</v>
      </c>
      <c r="BC8" s="223">
        <v>0.77</v>
      </c>
      <c r="BD8" s="223">
        <v>0.77</v>
      </c>
      <c r="BE8" s="223">
        <v>0.77</v>
      </c>
      <c r="BF8" s="232">
        <v>0.77</v>
      </c>
      <c r="BG8" s="383"/>
      <c r="BH8" s="385"/>
    </row>
    <row r="9" spans="1:60" ht="16.5" customHeight="1" x14ac:dyDescent="0.25">
      <c r="A9" s="214">
        <f t="shared" si="0"/>
        <v>147994.02273430146</v>
      </c>
      <c r="B9" s="388">
        <f t="shared" ref="B9" si="27">A9-A10</f>
        <v>21244.02273430147</v>
      </c>
      <c r="C9" s="163">
        <v>4</v>
      </c>
      <c r="D9" s="52">
        <v>19.732536364573527</v>
      </c>
      <c r="E9" s="52" t="s">
        <v>150</v>
      </c>
      <c r="F9" s="69" t="s">
        <v>270</v>
      </c>
      <c r="G9" s="52">
        <v>0.75</v>
      </c>
      <c r="H9" s="52">
        <f t="shared" si="8"/>
        <v>14.799402273430145</v>
      </c>
      <c r="I9" s="52">
        <f t="shared" si="1"/>
        <v>14.799402273430145</v>
      </c>
      <c r="J9" s="52" t="s">
        <v>158</v>
      </c>
      <c r="K9" s="48">
        <v>8</v>
      </c>
      <c r="L9" s="48">
        <v>4</v>
      </c>
      <c r="M9" s="52">
        <v>20</v>
      </c>
      <c r="N9" s="52">
        <v>0</v>
      </c>
      <c r="O9" s="48">
        <v>8</v>
      </c>
      <c r="P9" s="64">
        <f t="shared" si="2"/>
        <v>0.8</v>
      </c>
      <c r="Q9" s="65">
        <v>0.2</v>
      </c>
      <c r="R9" s="52">
        <f t="shared" si="9"/>
        <v>0.16000000000000003</v>
      </c>
      <c r="S9" s="52">
        <f t="shared" si="10"/>
        <v>1.6000000000000003</v>
      </c>
      <c r="T9" s="52">
        <f t="shared" si="11"/>
        <v>9.2496264208938381</v>
      </c>
      <c r="U9" s="65">
        <v>0.4</v>
      </c>
      <c r="V9" s="52">
        <f t="shared" si="12"/>
        <v>0.32000000000000006</v>
      </c>
      <c r="W9" s="52">
        <f t="shared" si="13"/>
        <v>3.2000000000000006</v>
      </c>
      <c r="X9" s="52">
        <f t="shared" si="14"/>
        <v>4.6248132104469191</v>
      </c>
      <c r="Y9" s="52">
        <v>3</v>
      </c>
      <c r="Z9" s="52">
        <v>0.5</v>
      </c>
      <c r="AA9" s="52">
        <f t="shared" si="15"/>
        <v>6666.666666666667</v>
      </c>
      <c r="AB9" s="52">
        <v>4</v>
      </c>
      <c r="AC9" s="52">
        <f t="shared" si="16"/>
        <v>2.666666666666667</v>
      </c>
      <c r="AD9" s="65">
        <v>0.9</v>
      </c>
      <c r="AE9" s="52">
        <f t="shared" si="17"/>
        <v>6.1664176139292257</v>
      </c>
      <c r="AF9" s="52">
        <v>20</v>
      </c>
      <c r="AG9" s="52">
        <f t="shared" si="18"/>
        <v>25</v>
      </c>
      <c r="AH9" s="52">
        <f t="shared" si="3"/>
        <v>4.6248132104469191</v>
      </c>
      <c r="AI9" s="52">
        <f t="shared" si="4"/>
        <v>25</v>
      </c>
      <c r="AJ9" s="386">
        <f t="shared" ref="AJ9" si="28">AH9-AH10</f>
        <v>0.66387571044691995</v>
      </c>
      <c r="AK9" s="305">
        <f t="shared" ref="AK9:AL9" si="29">ABS(AH9-AH10)/AH10</f>
        <v>0.16760570204577074</v>
      </c>
      <c r="AL9" s="305">
        <f t="shared" si="29"/>
        <v>0</v>
      </c>
      <c r="AM9" s="52">
        <f t="shared" si="5"/>
        <v>9.2496264208938381</v>
      </c>
      <c r="AN9" s="52">
        <f t="shared" si="6"/>
        <v>6.1664176139292257</v>
      </c>
      <c r="AO9" s="390">
        <f>AM9-AM10</f>
        <v>1.3277514208938399</v>
      </c>
      <c r="AP9" s="305">
        <f>ABS(AM9-AM10)/AM10</f>
        <v>0.16760570204577074</v>
      </c>
      <c r="AQ9" s="386">
        <f>AN9-AN10</f>
        <v>0.8851676139292266</v>
      </c>
      <c r="AR9" s="347">
        <f>ABS(AN9-AN10)/AN10</f>
        <v>0.16760570204577074</v>
      </c>
      <c r="AS9" s="218">
        <v>25</v>
      </c>
      <c r="AT9" s="219">
        <v>25</v>
      </c>
      <c r="AU9" s="219" t="s">
        <v>243</v>
      </c>
      <c r="AV9" s="219">
        <v>25</v>
      </c>
      <c r="AW9" s="219" t="s">
        <v>243</v>
      </c>
      <c r="AX9" s="219">
        <v>25</v>
      </c>
      <c r="AY9" s="231">
        <v>25</v>
      </c>
      <c r="AZ9" s="218">
        <v>0.87</v>
      </c>
      <c r="BA9" s="219">
        <v>0.87</v>
      </c>
      <c r="BB9" s="219">
        <v>0.87</v>
      </c>
      <c r="BC9" s="219">
        <v>0.87</v>
      </c>
      <c r="BD9" s="219">
        <v>0.87</v>
      </c>
      <c r="BE9" s="219">
        <v>0.87</v>
      </c>
      <c r="BF9" s="231">
        <v>0.87</v>
      </c>
      <c r="BG9" s="382">
        <f t="shared" ref="BG9" si="30">BF9-BF10</f>
        <v>0.12</v>
      </c>
      <c r="BH9" s="384">
        <f t="shared" ref="BH9" si="31">BG9*60</f>
        <v>7.1999999999999993</v>
      </c>
    </row>
    <row r="10" spans="1:60" ht="16.5" customHeight="1" thickBot="1" x14ac:dyDescent="0.3">
      <c r="A10" s="215">
        <f t="shared" si="0"/>
        <v>126749.99999999999</v>
      </c>
      <c r="B10" s="389"/>
      <c r="C10" s="164">
        <v>4</v>
      </c>
      <c r="D10" s="59">
        <v>16.899999999999999</v>
      </c>
      <c r="E10" s="59" t="s">
        <v>150</v>
      </c>
      <c r="F10" s="68" t="s">
        <v>270</v>
      </c>
      <c r="G10" s="59">
        <v>0.75</v>
      </c>
      <c r="H10" s="59">
        <f t="shared" si="8"/>
        <v>12.674999999999999</v>
      </c>
      <c r="I10" s="59">
        <f t="shared" si="1"/>
        <v>12.674999999999999</v>
      </c>
      <c r="J10" s="59" t="s">
        <v>158</v>
      </c>
      <c r="K10" s="55">
        <v>8</v>
      </c>
      <c r="L10" s="55">
        <v>4</v>
      </c>
      <c r="M10" s="59">
        <v>20</v>
      </c>
      <c r="N10" s="59">
        <v>0</v>
      </c>
      <c r="O10" s="55">
        <v>8</v>
      </c>
      <c r="P10" s="70">
        <f t="shared" si="2"/>
        <v>0.8</v>
      </c>
      <c r="Q10" s="71">
        <v>0.2</v>
      </c>
      <c r="R10" s="59">
        <f t="shared" si="9"/>
        <v>0.16000000000000003</v>
      </c>
      <c r="S10" s="59">
        <f t="shared" si="10"/>
        <v>1.6000000000000003</v>
      </c>
      <c r="T10" s="59">
        <f t="shared" si="11"/>
        <v>7.9218749999999982</v>
      </c>
      <c r="U10" s="71">
        <v>0.4</v>
      </c>
      <c r="V10" s="59">
        <f t="shared" si="12"/>
        <v>0.32000000000000006</v>
      </c>
      <c r="W10" s="59">
        <f t="shared" si="13"/>
        <v>3.2000000000000006</v>
      </c>
      <c r="X10" s="59">
        <f t="shared" si="14"/>
        <v>3.9609374999999991</v>
      </c>
      <c r="Y10" s="59">
        <v>3</v>
      </c>
      <c r="Z10" s="59">
        <v>0.5</v>
      </c>
      <c r="AA10" s="59">
        <f t="shared" si="15"/>
        <v>6666.666666666667</v>
      </c>
      <c r="AB10" s="59">
        <v>4</v>
      </c>
      <c r="AC10" s="59">
        <f t="shared" si="16"/>
        <v>2.666666666666667</v>
      </c>
      <c r="AD10" s="71">
        <v>0.9</v>
      </c>
      <c r="AE10" s="59">
        <f t="shared" si="17"/>
        <v>5.2812499999999991</v>
      </c>
      <c r="AF10" s="59">
        <v>20</v>
      </c>
      <c r="AG10" s="59">
        <f t="shared" si="18"/>
        <v>25</v>
      </c>
      <c r="AH10" s="59">
        <f t="shared" si="3"/>
        <v>3.9609374999999991</v>
      </c>
      <c r="AI10" s="59">
        <f t="shared" si="4"/>
        <v>25</v>
      </c>
      <c r="AJ10" s="387"/>
      <c r="AK10" s="306"/>
      <c r="AL10" s="306"/>
      <c r="AM10" s="59">
        <f t="shared" si="5"/>
        <v>7.9218749999999982</v>
      </c>
      <c r="AN10" s="59">
        <f t="shared" si="6"/>
        <v>5.2812499999999991</v>
      </c>
      <c r="AO10" s="391"/>
      <c r="AP10" s="306"/>
      <c r="AQ10" s="387"/>
      <c r="AR10" s="348"/>
      <c r="AS10" s="222">
        <v>25</v>
      </c>
      <c r="AT10" s="223" t="s">
        <v>243</v>
      </c>
      <c r="AU10" s="223">
        <v>25</v>
      </c>
      <c r="AV10" s="223" t="s">
        <v>243</v>
      </c>
      <c r="AW10" s="223">
        <v>25</v>
      </c>
      <c r="AX10" s="223" t="s">
        <v>243</v>
      </c>
      <c r="AY10" s="232">
        <v>25</v>
      </c>
      <c r="AZ10" s="222">
        <v>0.75</v>
      </c>
      <c r="BA10" s="223">
        <v>0.75</v>
      </c>
      <c r="BB10" s="223">
        <v>0.75</v>
      </c>
      <c r="BC10" s="223">
        <v>0.75</v>
      </c>
      <c r="BD10" s="223">
        <v>0.75</v>
      </c>
      <c r="BE10" s="223">
        <v>0.75</v>
      </c>
      <c r="BF10" s="232">
        <v>0.75</v>
      </c>
      <c r="BG10" s="383"/>
      <c r="BH10" s="385"/>
    </row>
  </sheetData>
  <mergeCells count="67">
    <mergeCell ref="T1:T2"/>
    <mergeCell ref="A1:A2"/>
    <mergeCell ref="B1:B2"/>
    <mergeCell ref="C1:C2"/>
    <mergeCell ref="D1:D2"/>
    <mergeCell ref="K1:K2"/>
    <mergeCell ref="L1:L2"/>
    <mergeCell ref="O1:O2"/>
    <mergeCell ref="P1:P2"/>
    <mergeCell ref="Q1:Q2"/>
    <mergeCell ref="R1:R2"/>
    <mergeCell ref="S1:S2"/>
    <mergeCell ref="V1:V2"/>
    <mergeCell ref="W1:W2"/>
    <mergeCell ref="X1:X2"/>
    <mergeCell ref="AA1:AA2"/>
    <mergeCell ref="AC1:AC2"/>
    <mergeCell ref="AP1:AR1"/>
    <mergeCell ref="AS1:AY1"/>
    <mergeCell ref="B3:B4"/>
    <mergeCell ref="AJ3:AJ4"/>
    <mergeCell ref="AK3:AK4"/>
    <mergeCell ref="AL3:AL4"/>
    <mergeCell ref="AO3:AO4"/>
    <mergeCell ref="AP3:AP4"/>
    <mergeCell ref="AQ3:AQ4"/>
    <mergeCell ref="AD1:AD2"/>
    <mergeCell ref="AE1:AE2"/>
    <mergeCell ref="AG1:AG2"/>
    <mergeCell ref="AH1:AI1"/>
    <mergeCell ref="AJ1:AL1"/>
    <mergeCell ref="AM1:AN1"/>
    <mergeCell ref="U1:U2"/>
    <mergeCell ref="AR3:AR4"/>
    <mergeCell ref="B5:B6"/>
    <mergeCell ref="AJ5:AJ6"/>
    <mergeCell ref="AK5:AK6"/>
    <mergeCell ref="AL5:AL6"/>
    <mergeCell ref="AO5:AO6"/>
    <mergeCell ref="AP5:AP6"/>
    <mergeCell ref="AQ5:AQ6"/>
    <mergeCell ref="AR5:AR6"/>
    <mergeCell ref="AQ7:AQ8"/>
    <mergeCell ref="AR7:AR8"/>
    <mergeCell ref="B9:B10"/>
    <mergeCell ref="AJ9:AJ10"/>
    <mergeCell ref="AK9:AK10"/>
    <mergeCell ref="AL9:AL10"/>
    <mergeCell ref="AO9:AO10"/>
    <mergeCell ref="AP9:AP10"/>
    <mergeCell ref="AQ9:AQ10"/>
    <mergeCell ref="AR9:AR10"/>
    <mergeCell ref="B7:B8"/>
    <mergeCell ref="AJ7:AJ8"/>
    <mergeCell ref="AK7:AK8"/>
    <mergeCell ref="AL7:AL8"/>
    <mergeCell ref="AO7:AO8"/>
    <mergeCell ref="AP7:AP8"/>
    <mergeCell ref="AZ1:BH1"/>
    <mergeCell ref="BG3:BG4"/>
    <mergeCell ref="BG5:BG6"/>
    <mergeCell ref="BG7:BG8"/>
    <mergeCell ref="BG9:BG10"/>
    <mergeCell ref="BH3:BH4"/>
    <mergeCell ref="BH5:BH6"/>
    <mergeCell ref="BH7:BH8"/>
    <mergeCell ref="BH9:BH10"/>
  </mergeCells>
  <conditionalFormatting sqref="AZ3:BF10">
    <cfRule type="cellIs" dxfId="41" priority="72" operator="equal">
      <formula>"Nada"</formula>
    </cfRule>
  </conditionalFormatting>
  <conditionalFormatting sqref="AS3:AS6">
    <cfRule type="cellIs" dxfId="40" priority="70" operator="equal">
      <formula>"Nada"</formula>
    </cfRule>
  </conditionalFormatting>
  <conditionalFormatting sqref="AS7">
    <cfRule type="cellIs" dxfId="39" priority="66" operator="equal">
      <formula>"Nada"</formula>
    </cfRule>
  </conditionalFormatting>
  <conditionalFormatting sqref="AS8">
    <cfRule type="cellIs" dxfId="38" priority="65" operator="equal">
      <formula>"Nada"</formula>
    </cfRule>
  </conditionalFormatting>
  <conditionalFormatting sqref="AT7">
    <cfRule type="cellIs" dxfId="37" priority="60" operator="equal">
      <formula>"Nada"</formula>
    </cfRule>
  </conditionalFormatting>
  <conditionalFormatting sqref="AT3:AT6">
    <cfRule type="cellIs" dxfId="36" priority="56" operator="equal">
      <formula>"Nada"</formula>
    </cfRule>
  </conditionalFormatting>
  <conditionalFormatting sqref="AU3:AU6">
    <cfRule type="cellIs" dxfId="35" priority="55" operator="equal">
      <formula>"Nada"</formula>
    </cfRule>
  </conditionalFormatting>
  <conditionalFormatting sqref="AU8">
    <cfRule type="cellIs" dxfId="34" priority="49" operator="equal">
      <formula>"Nada"</formula>
    </cfRule>
  </conditionalFormatting>
  <conditionalFormatting sqref="AW8">
    <cfRule type="cellIs" dxfId="33" priority="46" operator="equal">
      <formula>"Nada"</formula>
    </cfRule>
  </conditionalFormatting>
  <conditionalFormatting sqref="AX3:AX6">
    <cfRule type="cellIs" dxfId="32" priority="40" operator="equal">
      <formula>"Nada"</formula>
    </cfRule>
  </conditionalFormatting>
  <conditionalFormatting sqref="AY3:AY6">
    <cfRule type="cellIs" dxfId="31" priority="39" operator="equal">
      <formula>"Nada"</formula>
    </cfRule>
  </conditionalFormatting>
  <conditionalFormatting sqref="AY7">
    <cfRule type="cellIs" dxfId="30" priority="34" operator="equal">
      <formula>"Nada"</formula>
    </cfRule>
  </conditionalFormatting>
  <conditionalFormatting sqref="AX7">
    <cfRule type="cellIs" dxfId="29" priority="33" operator="equal">
      <formula>"Nada"</formula>
    </cfRule>
  </conditionalFormatting>
  <conditionalFormatting sqref="AY8">
    <cfRule type="cellIs" dxfId="28" priority="31" operator="equal">
      <formula>"Nada"</formula>
    </cfRule>
  </conditionalFormatting>
  <conditionalFormatting sqref="AS9">
    <cfRule type="cellIs" dxfId="27" priority="27" operator="equal">
      <formula>"Nada"</formula>
    </cfRule>
  </conditionalFormatting>
  <conditionalFormatting sqref="AT9">
    <cfRule type="cellIs" dxfId="26" priority="25" operator="equal">
      <formula>"Nada"</formula>
    </cfRule>
  </conditionalFormatting>
  <conditionalFormatting sqref="AV9">
    <cfRule type="cellIs" dxfId="25" priority="23" operator="equal">
      <formula>"Nada"</formula>
    </cfRule>
  </conditionalFormatting>
  <conditionalFormatting sqref="AX9">
    <cfRule type="cellIs" dxfId="24" priority="22" operator="equal">
      <formula>"Nada"</formula>
    </cfRule>
  </conditionalFormatting>
  <conditionalFormatting sqref="AY9">
    <cfRule type="cellIs" dxfId="23" priority="21" operator="equal">
      <formula>"Nada"</formula>
    </cfRule>
  </conditionalFormatting>
  <conditionalFormatting sqref="AS10">
    <cfRule type="cellIs" dxfId="22" priority="20" operator="equal">
      <formula>"Nada"</formula>
    </cfRule>
  </conditionalFormatting>
  <conditionalFormatting sqref="AU10">
    <cfRule type="cellIs" dxfId="21" priority="19" operator="equal">
      <formula>"Nada"</formula>
    </cfRule>
  </conditionalFormatting>
  <conditionalFormatting sqref="AW10">
    <cfRule type="cellIs" dxfId="20" priority="18" operator="equal">
      <formula>"Nada"</formula>
    </cfRule>
  </conditionalFormatting>
  <conditionalFormatting sqref="AY10">
    <cfRule type="cellIs" dxfId="19" priority="17" operator="equal">
      <formula>"Nada"</formula>
    </cfRule>
  </conditionalFormatting>
  <conditionalFormatting sqref="AU7">
    <cfRule type="cellIs" dxfId="18" priority="16" operator="equal">
      <formula>"Nada"</formula>
    </cfRule>
  </conditionalFormatting>
  <conditionalFormatting sqref="AT8">
    <cfRule type="cellIs" dxfId="17" priority="15" operator="equal">
      <formula>"Nada"</formula>
    </cfRule>
  </conditionalFormatting>
  <conditionalFormatting sqref="AT10">
    <cfRule type="cellIs" dxfId="16" priority="14" operator="equal">
      <formula>"Nada"</formula>
    </cfRule>
  </conditionalFormatting>
  <conditionalFormatting sqref="AU9">
    <cfRule type="cellIs" dxfId="15" priority="13" operator="equal">
      <formula>"Nada"</formula>
    </cfRule>
  </conditionalFormatting>
  <conditionalFormatting sqref="AW9">
    <cfRule type="cellIs" dxfId="14" priority="12" operator="equal">
      <formula>"Nada"</formula>
    </cfRule>
  </conditionalFormatting>
  <conditionalFormatting sqref="AX8">
    <cfRule type="cellIs" dxfId="13" priority="11" operator="equal">
      <formula>"Nada"</formula>
    </cfRule>
  </conditionalFormatting>
  <conditionalFormatting sqref="AW7">
    <cfRule type="cellIs" dxfId="12" priority="8" operator="equal">
      <formula>"Nada"</formula>
    </cfRule>
  </conditionalFormatting>
  <conditionalFormatting sqref="AW5">
    <cfRule type="cellIs" dxfId="11" priority="7" operator="equal">
      <formula>"Nada"</formula>
    </cfRule>
  </conditionalFormatting>
  <conditionalFormatting sqref="AW6">
    <cfRule type="cellIs" dxfId="10" priority="6" operator="equal">
      <formula>"Nada"</formula>
    </cfRule>
  </conditionalFormatting>
  <conditionalFormatting sqref="AV4">
    <cfRule type="cellIs" dxfId="9" priority="5" operator="equal">
      <formula>"Nada"</formula>
    </cfRule>
  </conditionalFormatting>
  <conditionalFormatting sqref="AW3">
    <cfRule type="cellIs" dxfId="8" priority="4" operator="equal">
      <formula>"Nada"</formula>
    </cfRule>
  </conditionalFormatting>
  <conditionalFormatting sqref="AV8">
    <cfRule type="cellIs" dxfId="7" priority="3" operator="equal">
      <formula>"Nada"</formula>
    </cfRule>
  </conditionalFormatting>
  <conditionalFormatting sqref="AV10">
    <cfRule type="cellIs" dxfId="6" priority="2" operator="equal">
      <formula>"Nada"</formula>
    </cfRule>
  </conditionalFormatting>
  <conditionalFormatting sqref="AX10">
    <cfRule type="cellIs" dxfId="5" priority="1" operator="equal">
      <formula>"Nada"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Entradas</vt:lpstr>
      <vt:lpstr>Original</vt:lpstr>
      <vt:lpstr>Datos</vt:lpstr>
      <vt:lpstr>test con el bot</vt:lpstr>
      <vt:lpstr>Diferencia entre calculos riego</vt:lpstr>
      <vt:lpstr>Diferencia entre calculos palto</vt:lpstr>
      <vt:lpstr>Hoja2</vt:lpstr>
      <vt:lpstr>Diferencia entre calculos horta</vt:lpstr>
      <vt:lpstr>Diferencia horta arenoso</vt:lpstr>
      <vt:lpstr>test evapotranspiracion semanal</vt:lpstr>
      <vt:lpstr>test evapotranspiracion diaria</vt:lpstr>
      <vt:lpstr>Illapel</vt:lpstr>
      <vt:lpstr>Coquimbo</vt:lpstr>
      <vt:lpstr>Ejemplo ajuste Coquimbo</vt:lpstr>
      <vt:lpstr>Paillaco</vt:lpstr>
      <vt:lpstr>Ejemplo ajuste paillaco</vt:lpstr>
      <vt:lpstr>Error 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SrDeLorean</cp:lastModifiedBy>
  <cp:lastPrinted>2022-06-07T21:20:34Z</cp:lastPrinted>
  <dcterms:created xsi:type="dcterms:W3CDTF">2020-05-03T18:15:50Z</dcterms:created>
  <dcterms:modified xsi:type="dcterms:W3CDTF">2022-07-16T03:56:08Z</dcterms:modified>
</cp:coreProperties>
</file>