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modules\compras\estoque\filiais\"/>
    </mc:Choice>
  </mc:AlternateContent>
  <xr:revisionPtr revIDLastSave="0" documentId="13_ncr:1_{3585DD15-8A16-454D-9313-52DFD13DB7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70" i="1" l="1"/>
  <c r="A2369" i="1"/>
  <c r="A2721" i="1"/>
  <c r="A1221" i="1"/>
  <c r="A2368" i="1"/>
  <c r="A2720" i="1"/>
  <c r="A1218" i="1"/>
  <c r="A2367" i="1"/>
  <c r="A2719" i="1"/>
  <c r="A2718" i="1"/>
  <c r="A1216" i="1"/>
  <c r="A698" i="1"/>
  <c r="A696" i="1"/>
  <c r="A694" i="1"/>
  <c r="A692" i="1"/>
  <c r="A690" i="1"/>
  <c r="A688" i="1"/>
  <c r="A686" i="1"/>
  <c r="A684" i="1"/>
  <c r="A683" i="1"/>
  <c r="A682" i="1"/>
  <c r="A681" i="1"/>
  <c r="A679" i="1"/>
  <c r="A677" i="1"/>
  <c r="A872" i="1"/>
  <c r="A1585" i="1"/>
  <c r="A867" i="1"/>
  <c r="A865" i="1"/>
  <c r="A864" i="1"/>
  <c r="A1580" i="1"/>
  <c r="A1543" i="1"/>
  <c r="A854" i="1"/>
  <c r="A853" i="1"/>
  <c r="A1573" i="1"/>
  <c r="A846" i="1"/>
  <c r="A1572" i="1"/>
  <c r="A1571" i="1"/>
  <c r="A845" i="1"/>
  <c r="A22" i="1"/>
  <c r="A839" i="1"/>
  <c r="A838" i="1"/>
  <c r="A836" i="1"/>
  <c r="A529" i="1"/>
  <c r="A672" i="1"/>
  <c r="A1570" i="1"/>
  <c r="A670" i="1"/>
  <c r="A21" i="1"/>
  <c r="A20" i="1"/>
  <c r="A19" i="1"/>
  <c r="A669" i="1"/>
  <c r="A668" i="1"/>
  <c r="A516" i="1"/>
  <c r="A515" i="1"/>
  <c r="A1439" i="1"/>
  <c r="A666" i="1"/>
  <c r="A663" i="1"/>
  <c r="A514" i="1"/>
  <c r="A1533" i="1"/>
  <c r="A1569" i="1"/>
  <c r="A101" i="1"/>
  <c r="A1333" i="1"/>
  <c r="A1332" i="1"/>
  <c r="A1329" i="1"/>
  <c r="A100" i="1"/>
  <c r="A99" i="1"/>
  <c r="A1529" i="1"/>
  <c r="A1324" i="1"/>
  <c r="A2801" i="1"/>
  <c r="A2725" i="1"/>
  <c r="A1437" i="1"/>
  <c r="A1435" i="1"/>
  <c r="A1434" i="1"/>
  <c r="A2724" i="1"/>
  <c r="A2723" i="1"/>
  <c r="A2404" i="1"/>
  <c r="A1321" i="1"/>
  <c r="A1528" i="1"/>
  <c r="A492" i="1"/>
  <c r="A488" i="1"/>
  <c r="A649" i="1"/>
  <c r="A464" i="1"/>
  <c r="A1319" i="1"/>
  <c r="A1318" i="1"/>
  <c r="A1316" i="1"/>
  <c r="A1431" i="1"/>
  <c r="A1430" i="1"/>
  <c r="A1312" i="1"/>
  <c r="A1309" i="1"/>
  <c r="A2403" i="1"/>
  <c r="A647" i="1"/>
  <c r="A645" i="1"/>
  <c r="A819" i="1"/>
  <c r="A1522" i="1"/>
  <c r="A739" i="1"/>
  <c r="A738" i="1"/>
  <c r="A1521" i="1"/>
  <c r="A458" i="1"/>
  <c r="A454" i="1"/>
  <c r="A2836" i="1"/>
  <c r="A1565" i="1"/>
  <c r="A440" i="1"/>
  <c r="A439" i="1"/>
  <c r="A2834" i="1"/>
  <c r="A431" i="1"/>
  <c r="A425" i="1"/>
  <c r="A1362" i="1"/>
  <c r="A1517" i="1"/>
  <c r="A416" i="1"/>
  <c r="A2713" i="1"/>
  <c r="A413" i="1"/>
  <c r="A1299" i="1"/>
  <c r="A1564" i="1"/>
  <c r="A640" i="1"/>
  <c r="A639" i="1"/>
  <c r="A1293" i="1"/>
  <c r="A2788" i="1"/>
  <c r="A1181" i="1"/>
  <c r="A1164" i="1"/>
  <c r="A1157" i="1"/>
  <c r="A1147" i="1"/>
  <c r="A1146" i="1"/>
  <c r="A1145" i="1"/>
  <c r="A1144" i="1"/>
  <c r="A1143" i="1"/>
  <c r="A1135" i="1"/>
  <c r="A2766" i="1"/>
  <c r="A1133" i="1"/>
  <c r="A1132" i="1"/>
  <c r="A1131" i="1"/>
  <c r="A1130" i="1"/>
  <c r="A1124" i="1"/>
  <c r="A1123" i="1"/>
  <c r="A1122" i="1"/>
  <c r="A1121" i="1"/>
  <c r="A1119" i="1"/>
  <c r="A2763" i="1"/>
  <c r="A1117" i="1"/>
  <c r="A2757" i="1"/>
  <c r="A1105" i="1"/>
  <c r="A1092" i="1"/>
  <c r="A1091" i="1"/>
  <c r="A1088" i="1"/>
  <c r="A1087" i="1"/>
  <c r="A1069" i="1"/>
  <c r="A2402" i="1"/>
  <c r="A2401" i="1"/>
  <c r="A818" i="1"/>
  <c r="A1513" i="1"/>
  <c r="A634" i="1"/>
  <c r="A1068" i="1"/>
  <c r="A1512" i="1"/>
  <c r="A1065" i="1"/>
  <c r="A629" i="1"/>
  <c r="A2355" i="1"/>
  <c r="A1290" i="1"/>
  <c r="A61" i="1"/>
  <c r="A346" i="1"/>
  <c r="A58" i="1"/>
  <c r="A809" i="1"/>
  <c r="A805" i="1"/>
  <c r="A623" i="1"/>
  <c r="A334" i="1"/>
  <c r="A2398" i="1"/>
  <c r="A1287" i="1"/>
  <c r="A1504" i="1"/>
  <c r="A795" i="1"/>
  <c r="A1502" i="1"/>
  <c r="A619" i="1"/>
  <c r="A2830" i="1"/>
  <c r="A894" i="1"/>
  <c r="A893" i="1"/>
  <c r="A2352" i="1"/>
  <c r="A2351" i="1"/>
  <c r="A1281" i="1"/>
  <c r="A2709" i="1"/>
  <c r="A791" i="1"/>
  <c r="F785" i="1"/>
  <c r="A613" i="1"/>
  <c r="A612" i="1"/>
  <c r="A611" i="1"/>
  <c r="A609" i="1"/>
  <c r="A2829" i="1"/>
  <c r="A17" i="1"/>
  <c r="A14" i="1"/>
  <c r="A12" i="1"/>
  <c r="A11" i="1"/>
  <c r="A6" i="1"/>
  <c r="A5" i="1"/>
  <c r="A1489" i="1"/>
  <c r="A1488" i="1"/>
  <c r="A1274" i="1"/>
  <c r="A606" i="1"/>
  <c r="A605" i="1"/>
  <c r="A783" i="1"/>
  <c r="A1269" i="1"/>
  <c r="A728" i="1"/>
  <c r="A313" i="1"/>
  <c r="A311" i="1"/>
  <c r="A310" i="1"/>
  <c r="A1382" i="1"/>
  <c r="A304" i="1"/>
  <c r="A2822" i="1"/>
  <c r="A603" i="1"/>
  <c r="A780" i="1"/>
  <c r="A3" i="1"/>
  <c r="A2392" i="1"/>
  <c r="A2391" i="1"/>
  <c r="A54" i="1"/>
  <c r="A2820" i="1"/>
  <c r="A293" i="1"/>
  <c r="A292" i="1"/>
  <c r="A291" i="1"/>
  <c r="A1429" i="1"/>
  <c r="A290" i="1"/>
  <c r="A286" i="1"/>
  <c r="A285" i="1"/>
  <c r="A284" i="1"/>
  <c r="A1263" i="1"/>
  <c r="A1262" i="1"/>
  <c r="A1261" i="1"/>
  <c r="A1260" i="1"/>
  <c r="A1259" i="1"/>
  <c r="A756" i="1"/>
  <c r="A755" i="1"/>
  <c r="A754" i="1"/>
  <c r="A1483" i="1"/>
  <c r="A33" i="1"/>
  <c r="A32" i="1"/>
  <c r="A2289" i="1"/>
  <c r="A2389" i="1"/>
  <c r="A2388" i="1"/>
  <c r="A1476" i="1"/>
  <c r="A2819" i="1"/>
  <c r="A2224" i="1"/>
  <c r="A1052" i="1"/>
  <c r="A592" i="1"/>
  <c r="A254" i="1"/>
  <c r="A1254" i="1"/>
  <c r="A1250" i="1"/>
  <c r="A1043" i="1"/>
  <c r="A1036" i="1"/>
  <c r="A1243" i="1"/>
  <c r="A1241" i="1"/>
  <c r="A1471" i="1"/>
  <c r="A2387" i="1"/>
  <c r="A1470" i="1"/>
  <c r="A2223" i="1"/>
  <c r="A2706" i="1"/>
  <c r="A2220" i="1"/>
  <c r="A2217" i="1"/>
  <c r="A2214" i="1"/>
  <c r="A2704" i="1"/>
  <c r="A2703" i="1"/>
  <c r="A2210" i="1"/>
  <c r="A2208" i="1"/>
  <c r="A2207" i="1"/>
  <c r="A2206" i="1"/>
  <c r="A2202" i="1"/>
  <c r="A2201" i="1"/>
  <c r="A2199" i="1"/>
  <c r="A2194" i="1"/>
  <c r="A2694" i="1"/>
  <c r="A2190" i="1"/>
  <c r="A2187" i="1"/>
  <c r="A2693" i="1"/>
  <c r="A2692" i="1"/>
  <c r="A2186" i="1"/>
  <c r="A2184" i="1"/>
  <c r="A2691" i="1"/>
  <c r="A2690" i="1"/>
  <c r="A2181" i="1"/>
  <c r="A2180" i="1"/>
  <c r="A2689" i="1"/>
  <c r="A2176" i="1"/>
  <c r="A2175" i="1"/>
  <c r="A2172" i="1"/>
  <c r="A2685" i="1"/>
  <c r="A2166" i="1"/>
  <c r="A2165" i="1"/>
  <c r="A2682" i="1"/>
  <c r="A2164" i="1"/>
  <c r="A2681" i="1"/>
  <c r="A2160" i="1"/>
  <c r="A2679" i="1"/>
  <c r="A2158" i="1"/>
  <c r="A2156" i="1"/>
  <c r="A2677" i="1"/>
  <c r="A2155" i="1"/>
  <c r="A2154" i="1"/>
  <c r="A2675" i="1"/>
  <c r="A2149" i="1"/>
  <c r="A2673" i="1"/>
  <c r="A2147" i="1"/>
  <c r="A2672" i="1"/>
  <c r="A2145" i="1"/>
  <c r="A2143" i="1"/>
  <c r="A2142" i="1"/>
  <c r="A2141" i="1"/>
  <c r="A2670" i="1"/>
  <c r="A2137" i="1"/>
  <c r="A2669" i="1"/>
  <c r="A2136" i="1"/>
  <c r="A2666" i="1"/>
  <c r="A2664" i="1"/>
  <c r="A2131" i="1"/>
  <c r="A2663" i="1"/>
  <c r="A2662" i="1"/>
  <c r="A2661" i="1"/>
  <c r="A2127" i="1"/>
  <c r="A2126" i="1"/>
  <c r="A2125" i="1"/>
  <c r="A2124" i="1"/>
  <c r="A2122" i="1"/>
  <c r="A2660" i="1"/>
  <c r="A2121" i="1"/>
  <c r="A2120" i="1"/>
  <c r="A2118" i="1"/>
  <c r="A2659" i="1"/>
  <c r="A2658" i="1"/>
  <c r="A2115" i="1"/>
  <c r="A2113" i="1"/>
  <c r="A2655" i="1"/>
  <c r="A2654" i="1"/>
  <c r="A2653" i="1"/>
  <c r="A2107" i="1"/>
  <c r="A2104" i="1"/>
  <c r="A2103" i="1"/>
  <c r="A2650" i="1"/>
  <c r="A2649" i="1"/>
  <c r="A2102" i="1"/>
  <c r="A2101" i="1"/>
  <c r="A2648" i="1"/>
  <c r="A2096" i="1"/>
  <c r="A2093" i="1"/>
  <c r="A2088" i="1"/>
  <c r="A2087" i="1"/>
  <c r="A2643" i="1"/>
  <c r="A2084" i="1"/>
  <c r="A2638" i="1"/>
  <c r="A2080" i="1"/>
  <c r="A2079" i="1"/>
  <c r="A2636" i="1"/>
  <c r="A2076" i="1"/>
  <c r="A2635" i="1"/>
  <c r="A2073" i="1"/>
  <c r="A2072" i="1"/>
  <c r="A2071" i="1"/>
  <c r="A2070" i="1"/>
  <c r="A2634" i="1"/>
  <c r="A2069" i="1"/>
  <c r="A2632" i="1"/>
  <c r="A2068" i="1"/>
  <c r="A2067" i="1"/>
  <c r="A2630" i="1"/>
  <c r="A2629" i="1"/>
  <c r="A2628" i="1"/>
  <c r="A2063" i="1"/>
  <c r="A2627" i="1"/>
  <c r="A2061" i="1"/>
  <c r="A2060" i="1"/>
  <c r="A2059" i="1"/>
  <c r="A2626" i="1"/>
  <c r="A2625" i="1"/>
  <c r="A2623" i="1"/>
  <c r="A2053" i="1"/>
  <c r="A2052" i="1"/>
  <c r="A2048" i="1"/>
  <c r="A2621" i="1"/>
  <c r="A2047" i="1"/>
  <c r="A2045" i="1"/>
  <c r="A2619" i="1"/>
  <c r="A2043" i="1"/>
  <c r="A2039" i="1"/>
  <c r="A2038" i="1"/>
  <c r="A2037" i="1"/>
  <c r="A2036" i="1"/>
  <c r="A2035" i="1"/>
  <c r="A2615" i="1"/>
  <c r="A2031" i="1"/>
  <c r="A2030" i="1"/>
  <c r="A2614" i="1"/>
  <c r="A2611" i="1"/>
  <c r="A2025" i="1"/>
  <c r="A2610" i="1"/>
  <c r="A2023" i="1"/>
  <c r="A2022" i="1"/>
  <c r="A2015" i="1"/>
  <c r="A2608" i="1"/>
  <c r="A2014" i="1"/>
  <c r="A2607" i="1"/>
  <c r="A2606" i="1"/>
  <c r="A2010" i="1"/>
  <c r="A2604" i="1"/>
  <c r="A2603" i="1"/>
  <c r="A2602" i="1"/>
  <c r="A2007" i="1"/>
  <c r="A2005" i="1"/>
  <c r="A2004" i="1"/>
  <c r="A2601" i="1"/>
  <c r="A2002" i="1"/>
  <c r="A2599" i="1"/>
  <c r="A2000" i="1"/>
  <c r="A1999" i="1"/>
  <c r="A2598" i="1"/>
  <c r="A2597" i="1"/>
  <c r="A1995" i="1"/>
  <c r="A2596" i="1"/>
  <c r="A1994" i="1"/>
  <c r="A2595" i="1"/>
  <c r="A1991" i="1"/>
  <c r="A2593" i="1"/>
  <c r="A2592" i="1"/>
  <c r="A1990" i="1"/>
  <c r="A2591" i="1"/>
  <c r="A2590" i="1"/>
  <c r="A1982" i="1"/>
  <c r="A1981" i="1"/>
  <c r="A2587" i="1"/>
  <c r="A1978" i="1"/>
  <c r="A1977" i="1"/>
  <c r="A2586" i="1"/>
  <c r="A1976" i="1"/>
  <c r="A2585" i="1"/>
  <c r="A2584" i="1"/>
  <c r="A1973" i="1"/>
  <c r="A1972" i="1"/>
  <c r="A2583" i="1"/>
  <c r="A1970" i="1"/>
  <c r="A1968" i="1"/>
  <c r="A2582" i="1"/>
  <c r="A1966" i="1"/>
  <c r="A1963" i="1"/>
  <c r="A2581" i="1"/>
  <c r="A1962" i="1"/>
  <c r="A1961" i="1"/>
  <c r="A2580" i="1"/>
  <c r="A1960" i="1"/>
  <c r="A1957" i="1"/>
  <c r="A2579" i="1"/>
  <c r="A1954" i="1"/>
  <c r="A2577" i="1"/>
  <c r="A1950" i="1"/>
  <c r="A2576" i="1"/>
  <c r="A2575" i="1"/>
  <c r="A1948" i="1"/>
  <c r="A2574" i="1"/>
  <c r="A2573" i="1"/>
  <c r="A2572" i="1"/>
  <c r="A1942" i="1"/>
  <c r="A1941" i="1"/>
  <c r="A1938" i="1"/>
  <c r="A1937" i="1"/>
  <c r="A2569" i="1"/>
  <c r="A1936" i="1"/>
  <c r="A1935" i="1"/>
  <c r="A1933" i="1"/>
  <c r="A1932" i="1"/>
  <c r="A2566" i="1"/>
  <c r="A1928" i="1"/>
  <c r="A1927" i="1"/>
  <c r="A1926" i="1"/>
  <c r="A1922" i="1"/>
  <c r="A2564" i="1"/>
  <c r="A2563" i="1"/>
  <c r="A1920" i="1"/>
  <c r="A1919" i="1"/>
  <c r="A1916" i="1"/>
  <c r="A1915" i="1"/>
  <c r="A2561" i="1"/>
  <c r="A2560" i="1"/>
  <c r="A1914" i="1"/>
  <c r="A1912" i="1"/>
  <c r="A2559" i="1"/>
  <c r="A1910" i="1"/>
  <c r="A2557" i="1"/>
  <c r="A2555" i="1"/>
  <c r="A1908" i="1"/>
  <c r="A1907" i="1"/>
  <c r="A1906" i="1"/>
  <c r="A1898" i="1"/>
  <c r="A2552" i="1"/>
  <c r="A1892" i="1"/>
  <c r="A2549" i="1"/>
  <c r="A1891" i="1"/>
  <c r="A1890" i="1"/>
  <c r="A1889" i="1"/>
  <c r="A2547" i="1"/>
  <c r="A1888" i="1"/>
  <c r="A1884" i="1"/>
  <c r="A1882" i="1"/>
  <c r="A2545" i="1"/>
  <c r="A1880" i="1"/>
  <c r="A1877" i="1"/>
  <c r="A2544" i="1"/>
  <c r="A2543" i="1"/>
  <c r="A2542" i="1"/>
  <c r="A1868" i="1"/>
  <c r="A2540" i="1"/>
  <c r="A1867" i="1"/>
  <c r="A2539" i="1"/>
  <c r="A1865" i="1"/>
  <c r="A1863" i="1"/>
  <c r="A1859" i="1"/>
  <c r="A1858" i="1"/>
  <c r="A1857" i="1"/>
  <c r="A1856" i="1"/>
  <c r="A1855" i="1"/>
  <c r="A1852" i="1"/>
  <c r="A1850" i="1"/>
  <c r="A1847" i="1"/>
  <c r="A1846" i="1"/>
  <c r="A1845" i="1"/>
  <c r="A1843" i="1"/>
  <c r="A2538" i="1"/>
  <c r="A1841" i="1"/>
  <c r="A2536" i="1"/>
  <c r="A1836" i="1"/>
  <c r="A1835" i="1"/>
  <c r="A1834" i="1"/>
  <c r="A1833" i="1"/>
  <c r="A2535" i="1"/>
  <c r="A2534" i="1"/>
  <c r="A1832" i="1"/>
  <c r="A1831" i="1"/>
  <c r="A2533" i="1"/>
  <c r="A1830" i="1"/>
  <c r="A2532" i="1"/>
  <c r="A1828" i="1"/>
  <c r="A1826" i="1"/>
  <c r="A1825" i="1"/>
  <c r="A2531" i="1"/>
  <c r="A1822" i="1"/>
  <c r="A2530" i="1"/>
  <c r="A1819" i="1"/>
  <c r="A1818" i="1"/>
  <c r="A1817" i="1"/>
  <c r="A1813" i="1"/>
  <c r="A1807" i="1"/>
  <c r="A1805" i="1"/>
  <c r="A2524" i="1"/>
  <c r="A1804" i="1"/>
  <c r="A2523" i="1"/>
  <c r="A1800" i="1"/>
  <c r="A1799" i="1"/>
  <c r="A2521" i="1"/>
  <c r="A1795" i="1"/>
  <c r="A2518" i="1"/>
  <c r="A1787" i="1"/>
  <c r="A2516" i="1"/>
  <c r="A1784" i="1"/>
  <c r="A1780" i="1"/>
  <c r="A1774" i="1"/>
  <c r="A1773" i="1"/>
  <c r="A2509" i="1"/>
  <c r="A2508" i="1"/>
  <c r="A2504" i="1"/>
  <c r="A2502" i="1"/>
  <c r="A2500" i="1"/>
  <c r="A1759" i="1"/>
  <c r="A1755" i="1"/>
  <c r="A1754" i="1"/>
  <c r="A2498" i="1"/>
  <c r="A2496" i="1"/>
  <c r="A2495" i="1"/>
  <c r="A1750" i="1"/>
  <c r="A1748" i="1"/>
  <c r="A2491" i="1"/>
  <c r="A1745" i="1"/>
  <c r="A1744" i="1"/>
  <c r="A2490" i="1"/>
  <c r="A2489" i="1"/>
  <c r="A1743" i="1"/>
  <c r="A2487" i="1"/>
  <c r="A1742" i="1"/>
  <c r="A2484" i="1"/>
  <c r="A1739" i="1"/>
  <c r="A1733" i="1"/>
  <c r="A1732" i="1"/>
  <c r="A2480" i="1"/>
  <c r="A2479" i="1"/>
  <c r="A1729" i="1"/>
  <c r="A1725" i="1"/>
  <c r="A1724" i="1"/>
  <c r="A2476" i="1"/>
  <c r="A1723" i="1"/>
  <c r="A2473" i="1"/>
  <c r="A2472" i="1"/>
  <c r="A1717" i="1"/>
  <c r="A1716" i="1"/>
  <c r="A880" i="1"/>
  <c r="A1715" i="1"/>
  <c r="A1714" i="1"/>
  <c r="A1713" i="1"/>
  <c r="A1710" i="1"/>
  <c r="A2470" i="1"/>
  <c r="A1703" i="1"/>
  <c r="A1702" i="1"/>
  <c r="A1701" i="1"/>
  <c r="A2467" i="1"/>
  <c r="A1697" i="1"/>
  <c r="A1695" i="1"/>
  <c r="A2465" i="1"/>
  <c r="A1693" i="1"/>
  <c r="A1691" i="1"/>
  <c r="A1689" i="1"/>
  <c r="A1687" i="1"/>
  <c r="A2462" i="1"/>
  <c r="A2460" i="1"/>
  <c r="A1681" i="1"/>
  <c r="A1680" i="1"/>
  <c r="A1679" i="1"/>
  <c r="A1678" i="1"/>
  <c r="A2458" i="1"/>
  <c r="A2457" i="1"/>
  <c r="A2455" i="1"/>
  <c r="A1677" i="1"/>
  <c r="A1671" i="1"/>
  <c r="A2453" i="1"/>
  <c r="A1668" i="1"/>
  <c r="A2452" i="1"/>
  <c r="A2451" i="1"/>
  <c r="A2450" i="1"/>
  <c r="A1666" i="1"/>
  <c r="A1660" i="1"/>
  <c r="A1659" i="1"/>
  <c r="A1658" i="1"/>
  <c r="A2448" i="1"/>
  <c r="A1657" i="1"/>
  <c r="A2447" i="1"/>
  <c r="A1654" i="1"/>
  <c r="A2446" i="1"/>
  <c r="A1650" i="1"/>
  <c r="A1648" i="1"/>
  <c r="A1645" i="1"/>
  <c r="A1644" i="1"/>
  <c r="A1642" i="1"/>
  <c r="A1640" i="1"/>
  <c r="A1639" i="1"/>
  <c r="A2445" i="1"/>
  <c r="A2444" i="1"/>
  <c r="A1637" i="1"/>
  <c r="A1634" i="1"/>
  <c r="A2442" i="1"/>
  <c r="A1633" i="1"/>
  <c r="A1632" i="1"/>
  <c r="A1630" i="1"/>
  <c r="A2439" i="1"/>
  <c r="A1629" i="1"/>
  <c r="A1628" i="1"/>
  <c r="A2437" i="1"/>
  <c r="A1626" i="1"/>
  <c r="A1624" i="1"/>
  <c r="A1622" i="1"/>
  <c r="A1621" i="1"/>
  <c r="A2435" i="1"/>
  <c r="A1618" i="1"/>
  <c r="A2433" i="1"/>
  <c r="A1614" i="1"/>
  <c r="A2432" i="1"/>
  <c r="A2431" i="1"/>
  <c r="A2430" i="1"/>
  <c r="A2429" i="1"/>
  <c r="A2428" i="1"/>
  <c r="A2427" i="1"/>
  <c r="A2425" i="1"/>
  <c r="A1612" i="1"/>
  <c r="A1611" i="1"/>
  <c r="A2422" i="1"/>
  <c r="A2420" i="1"/>
  <c r="A2418" i="1"/>
  <c r="A2417" i="1"/>
  <c r="A1610" i="1"/>
  <c r="A2415" i="1"/>
  <c r="A2413" i="1"/>
  <c r="A2412" i="1"/>
  <c r="A589" i="1"/>
  <c r="A1014" i="1"/>
  <c r="A1011" i="1"/>
  <c r="A1008" i="1"/>
  <c r="A1004" i="1"/>
  <c r="A586" i="1"/>
  <c r="A585" i="1"/>
  <c r="A581" i="1"/>
  <c r="A580" i="1"/>
  <c r="A579" i="1"/>
  <c r="A578" i="1"/>
  <c r="A999" i="1"/>
  <c r="A998" i="1"/>
  <c r="A997" i="1"/>
  <c r="A995" i="1"/>
  <c r="A991" i="1"/>
  <c r="A990" i="1"/>
  <c r="A985" i="1"/>
  <c r="A984" i="1"/>
  <c r="A980" i="1"/>
  <c r="A979" i="1"/>
  <c r="A576" i="1"/>
  <c r="A238" i="1"/>
  <c r="A230" i="1"/>
  <c r="A2411" i="1"/>
  <c r="A227" i="1"/>
  <c r="A226" i="1"/>
  <c r="A224" i="1"/>
  <c r="A221" i="1"/>
  <c r="A575" i="1"/>
  <c r="A1469" i="1"/>
  <c r="A1467" i="1"/>
  <c r="A960" i="1"/>
  <c r="A958" i="1"/>
  <c r="A957" i="1"/>
  <c r="A956" i="1"/>
  <c r="A2748" i="1"/>
  <c r="A2746" i="1"/>
  <c r="A2745" i="1"/>
  <c r="A2744" i="1"/>
  <c r="A2743" i="1"/>
  <c r="A2742" i="1"/>
  <c r="A2741" i="1"/>
  <c r="A2734" i="1"/>
  <c r="A941" i="1"/>
  <c r="A939" i="1"/>
  <c r="A938" i="1"/>
  <c r="A937" i="1"/>
  <c r="A936" i="1"/>
  <c r="A928" i="1"/>
  <c r="A926" i="1"/>
  <c r="A925" i="1"/>
  <c r="A923" i="1"/>
  <c r="A922" i="1"/>
  <c r="A921" i="1"/>
  <c r="A918" i="1"/>
  <c r="A916" i="1"/>
  <c r="A915" i="1"/>
  <c r="A914" i="1"/>
  <c r="A209" i="1"/>
  <c r="A208" i="1"/>
  <c r="A572" i="1"/>
  <c r="A774" i="1"/>
  <c r="A710" i="1"/>
  <c r="A708" i="1"/>
  <c r="A1462" i="1"/>
  <c r="A1461" i="1"/>
  <c r="A571" i="1"/>
  <c r="A1550" i="1"/>
  <c r="A1549" i="1"/>
  <c r="A771" i="1"/>
  <c r="A770" i="1"/>
  <c r="A767" i="1"/>
  <c r="A766" i="1"/>
  <c r="A705" i="1"/>
  <c r="A1230" i="1"/>
  <c r="A2812" i="1"/>
  <c r="A2410" i="1"/>
  <c r="A1605" i="1"/>
  <c r="A1604" i="1"/>
  <c r="A2372" i="1"/>
  <c r="A1343" i="1"/>
  <c r="A2810" i="1"/>
  <c r="A1454" i="1"/>
  <c r="A194" i="1"/>
  <c r="A1408" i="1"/>
  <c r="A2854" i="1"/>
  <c r="A2852" i="1"/>
  <c r="A2851" i="1"/>
  <c r="A2849" i="1"/>
  <c r="A2409" i="1"/>
  <c r="A2806" i="1"/>
  <c r="A763" i="1"/>
  <c r="A762" i="1"/>
  <c r="A177" i="1"/>
  <c r="A171" i="1"/>
  <c r="A1448" i="1"/>
  <c r="A1447" i="1"/>
  <c r="A166" i="1"/>
  <c r="A1445" i="1"/>
  <c r="A760" i="1"/>
  <c r="A1548" i="1"/>
  <c r="A563" i="1"/>
  <c r="A1600" i="1"/>
  <c r="A1599" i="1"/>
  <c r="A1348" i="1"/>
  <c r="A24" i="1"/>
  <c r="A1426" i="1"/>
  <c r="A23" i="1"/>
  <c r="A1222" i="1"/>
  <c r="A140" i="1"/>
  <c r="A1546" i="1"/>
  <c r="A554" i="1"/>
  <c r="A1596" i="1"/>
  <c r="A1595" i="1"/>
  <c r="A1594" i="1"/>
  <c r="A1593" i="1"/>
  <c r="A1592" i="1"/>
  <c r="A1591" i="1"/>
  <c r="A1590" i="1"/>
  <c r="A1589" i="1"/>
  <c r="A1588" i="1"/>
  <c r="A1587" i="1"/>
  <c r="A1403" i="1"/>
</calcChain>
</file>

<file path=xl/sharedStrings.xml><?xml version="1.0" encoding="utf-8"?>
<sst xmlns="http://schemas.openxmlformats.org/spreadsheetml/2006/main" count="13474" uniqueCount="4944">
  <si>
    <t>Nome</t>
  </si>
  <si>
    <t>Grupo</t>
  </si>
  <si>
    <t>Valor</t>
  </si>
  <si>
    <t>Custo médio</t>
  </si>
  <si>
    <t>Estoque total</t>
  </si>
  <si>
    <t>Unidade</t>
  </si>
  <si>
    <t>Cód. Ref.</t>
  </si>
  <si>
    <t>Situação</t>
  </si>
  <si>
    <t>T - CARDAPIO COMIDA - T - ACOMPANHAMENTOS</t>
  </si>
  <si>
    <t>UND</t>
  </si>
  <si>
    <t>268</t>
  </si>
  <si>
    <t>Ativo</t>
  </si>
  <si>
    <t>T - BEBIDAS  - T - CHOPE</t>
  </si>
  <si>
    <t>3199</t>
  </si>
  <si>
    <t>1128</t>
  </si>
  <si>
    <t>2344</t>
  </si>
  <si>
    <t>826</t>
  </si>
  <si>
    <t>827</t>
  </si>
  <si>
    <t>1147</t>
  </si>
  <si>
    <t>3517</t>
  </si>
  <si>
    <t>2208</t>
  </si>
  <si>
    <t>1279</t>
  </si>
  <si>
    <t>6415</t>
  </si>
  <si>
    <t>2 CHOPES ESPECIAIS LINHA BASTARDS</t>
  </si>
  <si>
    <t>6242</t>
  </si>
  <si>
    <t>T - PRODUTOS INTERMEDIARIOS - T - CHOPE</t>
  </si>
  <si>
    <t>6243</t>
  </si>
  <si>
    <t>2 CHOPES PILSEN</t>
  </si>
  <si>
    <t>6237</t>
  </si>
  <si>
    <t>6241</t>
  </si>
  <si>
    <t>A MODA ANTIGA</t>
  </si>
  <si>
    <t>T - BEBIDAS  - T - DRINK</t>
  </si>
  <si>
    <t>97</t>
  </si>
  <si>
    <t>ABACATE - ESTOQUE TAP</t>
  </si>
  <si>
    <t>T - PRODUTOS INTERMEDIARIOS - T - INSUMO COZINHA</t>
  </si>
  <si>
    <t>KG</t>
  </si>
  <si>
    <t>3841</t>
  </si>
  <si>
    <t>ABACAXI - ESTOQUE</t>
  </si>
  <si>
    <t>T - PRODUTOS INTERMEDIARIOS - T - INSUMO BAR</t>
  </si>
  <si>
    <t>1345</t>
  </si>
  <si>
    <t>4985</t>
  </si>
  <si>
    <t>ABACAXI EM CALDA RODELAS 400G - ESTOQUE TAP</t>
  </si>
  <si>
    <t>53886095</t>
  </si>
  <si>
    <t>ABACAXI EM RODELA - ESTOQUE TAP</t>
  </si>
  <si>
    <t>4655</t>
  </si>
  <si>
    <t>ABACAXI MARINADO</t>
  </si>
  <si>
    <t>5457</t>
  </si>
  <si>
    <t>ABOBORA CABOTIA - ESTOQUE TAP</t>
  </si>
  <si>
    <t>1347</t>
  </si>
  <si>
    <t>ABOBORA PESCOCO - ESTOQUE TAP</t>
  </si>
  <si>
    <t>1348</t>
  </si>
  <si>
    <t>ABOBRINHA - ESTOQUE TAP</t>
  </si>
  <si>
    <t>1349</t>
  </si>
  <si>
    <t>T - BEBIDAS  - T - DOSES</t>
  </si>
  <si>
    <t>4487</t>
  </si>
  <si>
    <t>ACAFRAO EM PÓ - ESTOQUE TAP</t>
  </si>
  <si>
    <t>1352</t>
  </si>
  <si>
    <t>6011</t>
  </si>
  <si>
    <t>ACETO BALSAMICO - ESTOQUE TAP</t>
  </si>
  <si>
    <t>LT</t>
  </si>
  <si>
    <t>1354</t>
  </si>
  <si>
    <t>ACIDO CITRICO - ESTOQUE TAP</t>
  </si>
  <si>
    <t>5552</t>
  </si>
  <si>
    <t>ACOPLADO</t>
  </si>
  <si>
    <t>BAR DA FABRICA - T - CONSUMIVEIS</t>
  </si>
  <si>
    <t>1710</t>
  </si>
  <si>
    <t>CX</t>
  </si>
  <si>
    <t>ACUCAR DE BAUNILHA</t>
  </si>
  <si>
    <t>1356</t>
  </si>
  <si>
    <t>ACUCAR DE CONFEITEIRO - ESTOQUE TAP</t>
  </si>
  <si>
    <t>1357</t>
  </si>
  <si>
    <t>ACUCAR MASCAVO - ESTOQUE TAP</t>
  </si>
  <si>
    <t>2888</t>
  </si>
  <si>
    <t>ACUCAR REFINADO - ESTOQUE TAP</t>
  </si>
  <si>
    <t>1358</t>
  </si>
  <si>
    <t>T - CONSUMIVEIS - T - CONSUMIVEL</t>
  </si>
  <si>
    <t>3466</t>
  </si>
  <si>
    <t>AGRIAO - ESOQUE</t>
  </si>
  <si>
    <t>84</t>
  </si>
  <si>
    <t>AGUA DE COCO</t>
  </si>
  <si>
    <t>T - BEBIDAS  - T - SOFT DRINK</t>
  </si>
  <si>
    <t>203</t>
  </si>
  <si>
    <t>AGUA DE COCO 330ML - ESTOQUE TAP</t>
  </si>
  <si>
    <t>53886101</t>
  </si>
  <si>
    <t>AGUA MINERAL 500ML C/GAS - ESTOQUE TAP</t>
  </si>
  <si>
    <t>204</t>
  </si>
  <si>
    <t>AGUA MINERAL 500ML S/ GÁS - ESTOQUE TAP</t>
  </si>
  <si>
    <t>205</t>
  </si>
  <si>
    <t>T - PRODUTOS INTERMEDIARIOS - T - ITENS LIMPEZA</t>
  </si>
  <si>
    <t>902</t>
  </si>
  <si>
    <t>AGUA SEM GAS 1,5 L - ESTOQUE</t>
  </si>
  <si>
    <t>2087</t>
  </si>
  <si>
    <t>AGUA TONICA LATA</t>
  </si>
  <si>
    <t>206</t>
  </si>
  <si>
    <t>AGUA TONICA LITRO - ESTOQUE TAP</t>
  </si>
  <si>
    <t>5471</t>
  </si>
  <si>
    <t>3210</t>
  </si>
  <si>
    <t>ALBUMINA - PROTEINA CLARA DE OVOS</t>
  </si>
  <si>
    <t>1360</t>
  </si>
  <si>
    <t>ALCAPARRAS - ESTOQUE TAP</t>
  </si>
  <si>
    <t>1362</t>
  </si>
  <si>
    <t>ALCATRA - TAP</t>
  </si>
  <si>
    <t>1363</t>
  </si>
  <si>
    <t>2353</t>
  </si>
  <si>
    <t>ALECRIM</t>
  </si>
  <si>
    <t>1364</t>
  </si>
  <si>
    <t>ALEXANDER</t>
  </si>
  <si>
    <t>98</t>
  </si>
  <si>
    <t>ALFACE AMERICANA - ESTOQUE TAP</t>
  </si>
  <si>
    <t>1365</t>
  </si>
  <si>
    <t>ALFACE CRESPA - ESTOQUE TAP</t>
  </si>
  <si>
    <t>1366</t>
  </si>
  <si>
    <t>ALFACE FRISE</t>
  </si>
  <si>
    <t>1367</t>
  </si>
  <si>
    <t>ALFACE LISA</t>
  </si>
  <si>
    <t>1368</t>
  </si>
  <si>
    <t>ALFACE ROXA - ESTOQUE TAP</t>
  </si>
  <si>
    <t>1369</t>
  </si>
  <si>
    <t>ALFAFA - ESTOQUE TAP</t>
  </si>
  <si>
    <t>5547</t>
  </si>
  <si>
    <t>ALFINETE</t>
  </si>
  <si>
    <t>1336</t>
  </si>
  <si>
    <t>ALHO C/ CASCA - ESTOQUE TAP</t>
  </si>
  <si>
    <t>6379</t>
  </si>
  <si>
    <t>ALHO CROCANTE - ESTOQUE TAP</t>
  </si>
  <si>
    <t>2504</t>
  </si>
  <si>
    <t>ALHO DESCASCADO - ESTOQUE TAP</t>
  </si>
  <si>
    <t>1370</t>
  </si>
  <si>
    <t>ALHO EM PO - ESTOQUE TAP</t>
  </si>
  <si>
    <t>1371</t>
  </si>
  <si>
    <t>ALHO FRITO - ESTOQUE TAP</t>
  </si>
  <si>
    <t>3851</t>
  </si>
  <si>
    <t>ALHO PORO - ESTOQUE TAP</t>
  </si>
  <si>
    <t>1374</t>
  </si>
  <si>
    <t>AMEIXA IMPORTADA - ESTOQUE TAP</t>
  </si>
  <si>
    <t>4536</t>
  </si>
  <si>
    <t>AMENDOAS CHILENA NATURAL - ESTOQUE TAP</t>
  </si>
  <si>
    <t>5607</t>
  </si>
  <si>
    <t>AMENDOAS LAMINADAS - ESTOQUE TAP</t>
  </si>
  <si>
    <t>1375</t>
  </si>
  <si>
    <t>T - CARDAPIO COMIDA - T - SANDUICHES E FOCCACIAS</t>
  </si>
  <si>
    <t>5385</t>
  </si>
  <si>
    <t>AMERICAN CLASSIC BURGUER COM BATATA FRITA</t>
  </si>
  <si>
    <t>181</t>
  </si>
  <si>
    <t>1029</t>
  </si>
  <si>
    <t>1030</t>
  </si>
  <si>
    <t>AMORA - ESTOQUE</t>
  </si>
  <si>
    <t>1872</t>
  </si>
  <si>
    <t>4362</t>
  </si>
  <si>
    <t>ANCHO RED ANGUS (200G)</t>
  </si>
  <si>
    <t>T - CARDAPIO COMIDA - T - ALMOCO</t>
  </si>
  <si>
    <t>1</t>
  </si>
  <si>
    <t>ANIS ESTRELADO - ESTOQUE TAP</t>
  </si>
  <si>
    <t>1378</t>
  </si>
  <si>
    <t>APA - FLOWER APA 300ML - CHOPE</t>
  </si>
  <si>
    <t>988</t>
  </si>
  <si>
    <t>APA - FLOWER APA 400ML - CHOPE</t>
  </si>
  <si>
    <t>989</t>
  </si>
  <si>
    <t>APERITIVO RAMAZOTTI AMARO - DOSE</t>
  </si>
  <si>
    <t>50</t>
  </si>
  <si>
    <t>APERITIVO RAMAZOTTI AMARO - ESTOQUE</t>
  </si>
  <si>
    <t>T - PRODUTOS INTERMEDIARIOS - T - BEBIDA QUENTE ESTOQUE</t>
  </si>
  <si>
    <t>980</t>
  </si>
  <si>
    <t>APERITIVO RAMAZZOTTI ROSATO - ESTOQUE TAP</t>
  </si>
  <si>
    <t>1012</t>
  </si>
  <si>
    <t>4660</t>
  </si>
  <si>
    <t>4659</t>
  </si>
  <si>
    <t>APEROL - ESTOQUE</t>
  </si>
  <si>
    <t>1011</t>
  </si>
  <si>
    <t>APEROL SPRITZ</t>
  </si>
  <si>
    <t>715</t>
  </si>
  <si>
    <t>6000</t>
  </si>
  <si>
    <t>ARMY N' NAVY</t>
  </si>
  <si>
    <t>4060</t>
  </si>
  <si>
    <t>ARROZ 8 GRAOS - ESTOQUE TAP</t>
  </si>
  <si>
    <t>4490</t>
  </si>
  <si>
    <t>ARROZ ARBOREO - ESTOQUE TAP</t>
  </si>
  <si>
    <t>2689</t>
  </si>
  <si>
    <t>ARROZ ARBOREO PRONTO - ESTOQUE TAP</t>
  </si>
  <si>
    <t>5282</t>
  </si>
  <si>
    <t>ARROZ BIRO BIRO</t>
  </si>
  <si>
    <t>1000</t>
  </si>
  <si>
    <t>ARROZ BIRO BIRO (2 PESSOAS)</t>
  </si>
  <si>
    <t>5784</t>
  </si>
  <si>
    <t>6229</t>
  </si>
  <si>
    <t>ARROZ BRANCO E BATATA</t>
  </si>
  <si>
    <t>1018</t>
  </si>
  <si>
    <t>ARROZ PARBOILIZADO - ESTOQUE TAP</t>
  </si>
  <si>
    <t>1379</t>
  </si>
  <si>
    <t>958</t>
  </si>
  <si>
    <t>153</t>
  </si>
  <si>
    <t>AVENTAL</t>
  </si>
  <si>
    <t>2717</t>
  </si>
  <si>
    <t>AVOCADO - ESTOQUE TAP</t>
  </si>
  <si>
    <t>1381</t>
  </si>
  <si>
    <t>AZEITE DE DENDE - ESTOQUE TAP</t>
  </si>
  <si>
    <t>4489</t>
  </si>
  <si>
    <t>AZEITE OLIVA - ESTOQUE TAP</t>
  </si>
  <si>
    <t>1383</t>
  </si>
  <si>
    <t>3078</t>
  </si>
  <si>
    <t>AZEITONA PRETA S- CAROCO - ESTOQUE</t>
  </si>
  <si>
    <t>1385</t>
  </si>
  <si>
    <t>AZEITONA VERDE  S- CAROCO - ESTOQUE</t>
  </si>
  <si>
    <t>1387</t>
  </si>
  <si>
    <t>Abafador De Hamburguer 5 Cm - Diverso Doupan</t>
  </si>
  <si>
    <t>T - PRODUTOS INTERMEDIARIOS - T - EMBALAGEM</t>
  </si>
  <si>
    <t>1346</t>
  </si>
  <si>
    <t>Abracadeira 3-4</t>
  </si>
  <si>
    <t>1350</t>
  </si>
  <si>
    <t>Abridor De Garrafas Boteco</t>
  </si>
  <si>
    <t>1351</t>
  </si>
  <si>
    <t>Acai Tradicional Polpa Norte Balde 2Kg</t>
  </si>
  <si>
    <t>1353</t>
  </si>
  <si>
    <t>Aioli</t>
  </si>
  <si>
    <t>1359</t>
  </si>
  <si>
    <t>Alcool Gel</t>
  </si>
  <si>
    <t>1951</t>
  </si>
  <si>
    <t>All Clear Plus Bb 05 Litros</t>
  </si>
  <si>
    <t>1953</t>
  </si>
  <si>
    <t>Amendoim Sem Pele Torrado</t>
  </si>
  <si>
    <t>1376</t>
  </si>
  <si>
    <t>Apache Sour  - Barril 30L</t>
  </si>
  <si>
    <t>T - PRODUTOS INTERMEDIARIOS - T - BARRIL</t>
  </si>
  <si>
    <t>1285</t>
  </si>
  <si>
    <t>Avental Ind Branco</t>
  </si>
  <si>
    <t>1380</t>
  </si>
  <si>
    <t>5226</t>
  </si>
  <si>
    <t>BACON FATIADO - ESTOQUE TAP</t>
  </si>
  <si>
    <t>1390</t>
  </si>
  <si>
    <t>BACON MANTA - ESTOQUE TAP</t>
  </si>
  <si>
    <t>2756</t>
  </si>
  <si>
    <t>3358</t>
  </si>
  <si>
    <t>3461</t>
  </si>
  <si>
    <t>BAGEL - ESTOQUE TAP</t>
  </si>
  <si>
    <t>1395</t>
  </si>
  <si>
    <t>BALDE PLASTICO</t>
  </si>
  <si>
    <t>1078</t>
  </si>
  <si>
    <t>BANANA FRUTA - ESTOQUE</t>
  </si>
  <si>
    <t>1578</t>
  </si>
  <si>
    <t>BANANA PASSA - ESTOQUE</t>
  </si>
  <si>
    <t>970</t>
  </si>
  <si>
    <t>BAND ISOPOR</t>
  </si>
  <si>
    <t>301</t>
  </si>
  <si>
    <t>BANDANA CANABICAO</t>
  </si>
  <si>
    <t>T - LOJA - T - SOUVENIR</t>
  </si>
  <si>
    <t>3314</t>
  </si>
  <si>
    <t>3725</t>
  </si>
  <si>
    <t>BATATA - ESTOQUE TAP</t>
  </si>
  <si>
    <t>1399</t>
  </si>
  <si>
    <t>BATATA ASTERIX - ESTOQUE TAP</t>
  </si>
  <si>
    <t>1400</t>
  </si>
  <si>
    <t>BATATA CANOA  - ESTOQUE TAP</t>
  </si>
  <si>
    <t>3082</t>
  </si>
  <si>
    <t>BATATA CHIPS - ESTOQUE TAP</t>
  </si>
  <si>
    <t>3081</t>
  </si>
  <si>
    <t>BATATA CORTE FINO 7MM - ESTOQUE TAP</t>
  </si>
  <si>
    <t>1403</t>
  </si>
  <si>
    <t>BATATA DOCE - ESTOQUE TAP</t>
  </si>
  <si>
    <t>1405</t>
  </si>
  <si>
    <t>BATATA FRITA (2 PESSOAS)</t>
  </si>
  <si>
    <t>5788</t>
  </si>
  <si>
    <t>BATATA HASH BROWN - ESTOQUE TAP</t>
  </si>
  <si>
    <t>2497</t>
  </si>
  <si>
    <t>BATATA PALHA - FUNCIONARIOS TAP</t>
  </si>
  <si>
    <t>982</t>
  </si>
  <si>
    <t>BATATA PALHA - INSUMOS TAP</t>
  </si>
  <si>
    <t>5220</t>
  </si>
  <si>
    <t>BATATA PRIMEIRINHA (BOLINHA) - ESTOQUE TAP</t>
  </si>
  <si>
    <t>5108</t>
  </si>
  <si>
    <t>BATATA SALSA - ESTOQUE TAP</t>
  </si>
  <si>
    <t>1410</t>
  </si>
  <si>
    <t>BAUNILHA FAVA - ESTOQUE TAP</t>
  </si>
  <si>
    <t>1874</t>
  </si>
  <si>
    <t>BDF- FLIGHT DEGUSTAÇÃO</t>
  </si>
  <si>
    <t>1260</t>
  </si>
  <si>
    <t>T - BEBIDA QUENTE ESTOQUE - T - CHOPE ESTOQUE</t>
  </si>
  <si>
    <t>6117</t>
  </si>
  <si>
    <t>BELLINI ROSATO</t>
  </si>
  <si>
    <t>4809</t>
  </si>
  <si>
    <t>BERINJELA</t>
  </si>
  <si>
    <t>1413</t>
  </si>
  <si>
    <t>BERINJELA PARMEGIANA</t>
  </si>
  <si>
    <t>2</t>
  </si>
  <si>
    <t>BERRYS JELLY LEMONADE (BACARDI CARTA BLANCA)</t>
  </si>
  <si>
    <t>3600</t>
  </si>
  <si>
    <t>BERRYS JELLY LEMONADE (GIN TANQUERAY)</t>
  </si>
  <si>
    <t>3599</t>
  </si>
  <si>
    <t>BERRYS JELLY LEMONADE (VODKA ABSOLUT)</t>
  </si>
  <si>
    <t>3598</t>
  </si>
  <si>
    <t>BETERRABA</t>
  </si>
  <si>
    <t>1414</t>
  </si>
  <si>
    <t>BG - AFFOGATO</t>
  </si>
  <si>
    <t>BAR DA FABRICA - T - BOM GOURMET</t>
  </si>
  <si>
    <t>4496</t>
  </si>
  <si>
    <t>BG - ARANCINI DE PARMESÃO COM MOLHO CAESAR</t>
  </si>
  <si>
    <t>5730</t>
  </si>
  <si>
    <t>BG - BOLO DE TANGERINA - FATIA + CAFE</t>
  </si>
  <si>
    <t>4497</t>
  </si>
  <si>
    <t>BG - PANNA COTTA</t>
  </si>
  <si>
    <t>5737</t>
  </si>
  <si>
    <t>BG - PUDIM DE DOCE DE LEITE</t>
  </si>
  <si>
    <t>5736</t>
  </si>
  <si>
    <t>2256</t>
  </si>
  <si>
    <t>BG - RISOTO DE CAMARÃO</t>
  </si>
  <si>
    <t>5738</t>
  </si>
  <si>
    <t>5731</t>
  </si>
  <si>
    <t>4492</t>
  </si>
  <si>
    <t>BG - SALADA DE FOLHAS COM GÃO DE BICO CROCANTE, FIGO E MOLHO</t>
  </si>
  <si>
    <t>4493</t>
  </si>
  <si>
    <t>5735</t>
  </si>
  <si>
    <t>BICO REDUTOR</t>
  </si>
  <si>
    <t>1046</t>
  </si>
  <si>
    <t>3834</t>
  </si>
  <si>
    <t>6012</t>
  </si>
  <si>
    <t>BIFE PRIME RIB RED ANGUS (200G)</t>
  </si>
  <si>
    <t>5717</t>
  </si>
  <si>
    <t>BIG BASTARD</t>
  </si>
  <si>
    <t>5384</t>
  </si>
  <si>
    <t>BIG BASTARD COM BATATA FRITA</t>
  </si>
  <si>
    <t>183</t>
  </si>
  <si>
    <t>BISNAGA FLEXIVEL - ESTOQUE TAP</t>
  </si>
  <si>
    <t>5611</t>
  </si>
  <si>
    <t>BISNAGA INVERTIDA</t>
  </si>
  <si>
    <t>2611</t>
  </si>
  <si>
    <t>BITTER ANGOSTURA AROMATIC - ESTOQUE TAP</t>
  </si>
  <si>
    <t>1875</t>
  </si>
  <si>
    <t>BITTER ANGOSTURA ORANGE - ESTOQUE</t>
  </si>
  <si>
    <t>1876</t>
  </si>
  <si>
    <t>BLACK DOG</t>
  </si>
  <si>
    <t>4808</t>
  </si>
  <si>
    <t>3226</t>
  </si>
  <si>
    <t>BLEND PAO COM BOLINHO 120G - TAP</t>
  </si>
  <si>
    <t>3077</t>
  </si>
  <si>
    <t>BOBINA PLASTICA</t>
  </si>
  <si>
    <t>1423</t>
  </si>
  <si>
    <t>903</t>
  </si>
  <si>
    <t>BOILERMAKER</t>
  </si>
  <si>
    <t>2790</t>
  </si>
  <si>
    <t>BOLACHA DE CHOPE - ESTOQUE TAP</t>
  </si>
  <si>
    <t>2225</t>
  </si>
  <si>
    <t>BOLINHO DE PEPPERONI</t>
  </si>
  <si>
    <t>6757</t>
  </si>
  <si>
    <t>BOLO DE CENOURA - FATIA</t>
  </si>
  <si>
    <t>T - BEBIDAS  - T - CAFES E CHAS</t>
  </si>
  <si>
    <t>4056</t>
  </si>
  <si>
    <t>T - CARDAPIO COMIDA - T - SOBREMESA</t>
  </si>
  <si>
    <t>3682</t>
  </si>
  <si>
    <t>5223</t>
  </si>
  <si>
    <t>BOLO DE TANGERINA - FATIA</t>
  </si>
  <si>
    <t>4055</t>
  </si>
  <si>
    <t>BOLO DO DIA - FATIA</t>
  </si>
  <si>
    <t>5770</t>
  </si>
  <si>
    <t>BOLSA P/ GROWLER - PRETO E VERMELHO</t>
  </si>
  <si>
    <t>493</t>
  </si>
  <si>
    <t>BOLSA TERMICA - AMARELA</t>
  </si>
  <si>
    <t>567</t>
  </si>
  <si>
    <t>BONE - ABA VERMELHA X WE ARE BSTRDS</t>
  </si>
  <si>
    <t>3494</t>
  </si>
  <si>
    <t>BONE AZUL ESTONADO</t>
  </si>
  <si>
    <t>4093</t>
  </si>
  <si>
    <t>BONE BEGE - WALK LIKE A DOG</t>
  </si>
  <si>
    <t>703</t>
  </si>
  <si>
    <t>BONE TRUCK - BEGE/PRETO BASTARDS SINCE 2013</t>
  </si>
  <si>
    <t>6360</t>
  </si>
  <si>
    <t>BONE TRUCK - PRETO BCO E VERMELHO / WE ARE</t>
  </si>
  <si>
    <t>339</t>
  </si>
  <si>
    <t>BONE TRUCK - PRETO WE ARE BASTARDS</t>
  </si>
  <si>
    <t>353</t>
  </si>
  <si>
    <t>BONE VERDE ESTONADO</t>
  </si>
  <si>
    <t>4094</t>
  </si>
  <si>
    <t>BONE VERMELHO ESTONADO - HEXAG. BCO</t>
  </si>
  <si>
    <t>354</t>
  </si>
  <si>
    <t>4875</t>
  </si>
  <si>
    <t>4874</t>
  </si>
  <si>
    <t>4873</t>
  </si>
  <si>
    <t>BORAVADIA</t>
  </si>
  <si>
    <t>5677</t>
  </si>
  <si>
    <t>BORRIFADOR</t>
  </si>
  <si>
    <t>2492</t>
  </si>
  <si>
    <t>BOTTON - WE ARE DOG/MOSTARDA E BCO</t>
  </si>
  <si>
    <t>441</t>
  </si>
  <si>
    <t>BOTTON PLASTICO</t>
  </si>
  <si>
    <t>439</t>
  </si>
  <si>
    <t>1620</t>
  </si>
  <si>
    <t>BOULEVARDIER</t>
  </si>
  <si>
    <t>105</t>
  </si>
  <si>
    <t>4785</t>
  </si>
  <si>
    <t>BRANDY HIBISCO SOUR</t>
  </si>
  <si>
    <t>1276</t>
  </si>
  <si>
    <t>BRANDY OSBORNE - ESTOQUE</t>
  </si>
  <si>
    <t>1013</t>
  </si>
  <si>
    <t>BROA PRETA</t>
  </si>
  <si>
    <t>1468</t>
  </si>
  <si>
    <t>BROCOLIS - ESTOQUE TAP</t>
  </si>
  <si>
    <t>1429</t>
  </si>
  <si>
    <t>BROWNIE RECHEADO COM DOCE DE LEITE</t>
  </si>
  <si>
    <t>196</t>
  </si>
  <si>
    <t>BROWNIE RECHEADO COM DOCE DE LEITE - ESTOQUE TAP</t>
  </si>
  <si>
    <t>6796</t>
  </si>
  <si>
    <t>BSTRDS GOLDEN FLAMINGO LATA 473ML</t>
  </si>
  <si>
    <t>315</t>
  </si>
  <si>
    <t>BUENOS DIAS (SEM ALCOOL)</t>
  </si>
  <si>
    <t>108</t>
  </si>
  <si>
    <t>Bacalhau Kg</t>
  </si>
  <si>
    <t>1389</t>
  </si>
  <si>
    <t>Barril 30L Cerveja Sophia Sour Caja</t>
  </si>
  <si>
    <t>1286</t>
  </si>
  <si>
    <t>Batedor Tipo Pera 35Cm Bp-35 - Plasticos Solrac</t>
  </si>
  <si>
    <t>1412</t>
  </si>
  <si>
    <t>Biscoito Champ</t>
  </si>
  <si>
    <t>1418</t>
  </si>
  <si>
    <t>Biscoito Maria</t>
  </si>
  <si>
    <t>5103</t>
  </si>
  <si>
    <t>Bisnaga Grande</t>
  </si>
  <si>
    <t>1419</t>
  </si>
  <si>
    <t>Bisteca Suina</t>
  </si>
  <si>
    <t>1420</t>
  </si>
  <si>
    <t>Bolinho De Paleta</t>
  </si>
  <si>
    <t>1424</t>
  </si>
  <si>
    <t>Bolo Kg Chocolate Bimbo</t>
  </si>
  <si>
    <t>1427</t>
  </si>
  <si>
    <t>Bv Contra File Porcionado Angus Cg Brit</t>
  </si>
  <si>
    <t>1430</t>
  </si>
  <si>
    <t>5951</t>
  </si>
  <si>
    <t>CABO PP - ESTOQUE TAP</t>
  </si>
  <si>
    <t>5648</t>
  </si>
  <si>
    <t>CABO VASSOURA/RODO - ESTOQUE TAP</t>
  </si>
  <si>
    <t>1433</t>
  </si>
  <si>
    <t>CACAU EM PO - ESTOQUE</t>
  </si>
  <si>
    <t>1428</t>
  </si>
  <si>
    <t>CACHACA JAMBU DA IMBUIA 700ML - ESTOQUE TAP</t>
  </si>
  <si>
    <t>872</t>
  </si>
  <si>
    <t>6337</t>
  </si>
  <si>
    <t>5293</t>
  </si>
  <si>
    <t>CACHACA REGUI BRASIL OURO - ESTOQUE TAP</t>
  </si>
  <si>
    <t>1014</t>
  </si>
  <si>
    <t>CACHACA TRIVISAN - ESTOQUE TAP</t>
  </si>
  <si>
    <t>1015</t>
  </si>
  <si>
    <t>5549</t>
  </si>
  <si>
    <t>3311</t>
  </si>
  <si>
    <t>CACHACA YPIOCA PALHA - ESTOQUE</t>
  </si>
  <si>
    <t>2190</t>
  </si>
  <si>
    <t>3002</t>
  </si>
  <si>
    <t>4125</t>
  </si>
  <si>
    <t>CACHAÇA YPIOCA OURO - DOSE</t>
  </si>
  <si>
    <t>52</t>
  </si>
  <si>
    <t>CACHAÇA YPIOCA OURO - ESTOQUE</t>
  </si>
  <si>
    <t>138</t>
  </si>
  <si>
    <t>CAFE CAPRICORNIO  - ESTOQUE</t>
  </si>
  <si>
    <t>1438</t>
  </si>
  <si>
    <t>5582</t>
  </si>
  <si>
    <t>CAFE FILTRADO</t>
  </si>
  <si>
    <t>4041</t>
  </si>
  <si>
    <t>CAFE FILTRADO PARA DIVIDIR</t>
  </si>
  <si>
    <t>4042</t>
  </si>
  <si>
    <t>CAFE FUNCIONARIOS - ESTOQUE TAP</t>
  </si>
  <si>
    <t>1441</t>
  </si>
  <si>
    <t>CAFE NECTAR 200G</t>
  </si>
  <si>
    <t>6247</t>
  </si>
  <si>
    <t>CAFE REFUGIO 200G</t>
  </si>
  <si>
    <t>6246</t>
  </si>
  <si>
    <t>CAFÉ - AMERICANO</t>
  </si>
  <si>
    <t>4044</t>
  </si>
  <si>
    <t>CAIPIRINHA DE CACHACA - FESTA DO CANIL</t>
  </si>
  <si>
    <t>5480</t>
  </si>
  <si>
    <t>5482</t>
  </si>
  <si>
    <t>5481</t>
  </si>
  <si>
    <t>CAIPIRINHA SEM MIMIMI</t>
  </si>
  <si>
    <t>109</t>
  </si>
  <si>
    <t>CAIPORA DE FRUTAS VERMELHAS</t>
  </si>
  <si>
    <t>1305</t>
  </si>
  <si>
    <t>CAIXA DE PIZZA</t>
  </si>
  <si>
    <t>1042</t>
  </si>
  <si>
    <t>CAIXA DELIVERY</t>
  </si>
  <si>
    <t>2116</t>
  </si>
  <si>
    <t>1774</t>
  </si>
  <si>
    <t>CAIXA PAPEL P/ LANCHE</t>
  </si>
  <si>
    <t>2226</t>
  </si>
  <si>
    <t>1444</t>
  </si>
  <si>
    <t>3315</t>
  </si>
  <si>
    <t>4182</t>
  </si>
  <si>
    <t>CAJUHITO - NAO ALCOLICO</t>
  </si>
  <si>
    <t>4353</t>
  </si>
  <si>
    <t>CAJUPIROSKA</t>
  </si>
  <si>
    <t>4354</t>
  </si>
  <si>
    <t>CALDA DE FRUTAS VERMELHAS</t>
  </si>
  <si>
    <t>5768</t>
  </si>
  <si>
    <t>4205</t>
  </si>
  <si>
    <t>4206</t>
  </si>
  <si>
    <t>CALDO DE LEGUMES PRONTO</t>
  </si>
  <si>
    <t>5280</t>
  </si>
  <si>
    <t>CAMARAO 16/20 - ESTOQUE TAP</t>
  </si>
  <si>
    <t>1750</t>
  </si>
  <si>
    <t>CAMARAO 20/30 - ESTOQUE TAP</t>
  </si>
  <si>
    <t>2222</t>
  </si>
  <si>
    <t>CAMARAO 7 BARBA - ESTOQUE TAP</t>
  </si>
  <si>
    <t>1540</t>
  </si>
  <si>
    <t>CAMARAO ROSA - ESTOQUE TAP</t>
  </si>
  <si>
    <t>5767</t>
  </si>
  <si>
    <t>CAMISETA - BORDO BSTRDS COMPANY (2XG)</t>
  </si>
  <si>
    <t>3944</t>
  </si>
  <si>
    <t>3941</t>
  </si>
  <si>
    <t>3942</t>
  </si>
  <si>
    <t>3940</t>
  </si>
  <si>
    <t>CAMISETA - BORDO BSTRDS COMPANY (P)</t>
  </si>
  <si>
    <t>3939</t>
  </si>
  <si>
    <t>3943</t>
  </si>
  <si>
    <t>CAMISETA - CARPE THAT FUCKING DIEM GG</t>
  </si>
  <si>
    <t>203859</t>
  </si>
  <si>
    <t>CAMISETA - DOES HE LOOK LIKE A BASTARD? GG</t>
  </si>
  <si>
    <t>203854</t>
  </si>
  <si>
    <t>6270</t>
  </si>
  <si>
    <t>6271</t>
  </si>
  <si>
    <t>6267</t>
  </si>
  <si>
    <t>CAMISETA - MASC. 3 DOGS PRETA (GG)</t>
  </si>
  <si>
    <t>6268</t>
  </si>
  <si>
    <t>6280</t>
  </si>
  <si>
    <t>6266</t>
  </si>
  <si>
    <t>CAMISETA - MASC. 3 DOGS PRETA (PP)</t>
  </si>
  <si>
    <t>6265</t>
  </si>
  <si>
    <t>6269</t>
  </si>
  <si>
    <t>CAMISETA - MASC. BOX DOGS - VERMELHA (2XG)</t>
  </si>
  <si>
    <t>6309</t>
  </si>
  <si>
    <t>CAMISETA - MASC. BOX DOGS - VERMELHA (3XG)</t>
  </si>
  <si>
    <t>6310</t>
  </si>
  <si>
    <t>CAMISETA - MASC. BOX DOGS - VERMELHA (G)</t>
  </si>
  <si>
    <t>6306</t>
  </si>
  <si>
    <t>CAMISETA - MASC. BOX DOGS - VERMELHA (GG)</t>
  </si>
  <si>
    <t>6307</t>
  </si>
  <si>
    <t>CAMISETA - MASC. BOX DOGS - VERMELHA (M)</t>
  </si>
  <si>
    <t>6305</t>
  </si>
  <si>
    <t>CAMISETA - MASC. BOX DOGS - VERMELHA (P)</t>
  </si>
  <si>
    <t>6304</t>
  </si>
  <si>
    <t>CAMISETA - MASC. BOX DOGS - VERMELHA (XG)</t>
  </si>
  <si>
    <t>6308</t>
  </si>
  <si>
    <t>3938</t>
  </si>
  <si>
    <t>3935</t>
  </si>
  <si>
    <t>3936</t>
  </si>
  <si>
    <t>3934</t>
  </si>
  <si>
    <t>CAMISETA - OFF WHITE BSTRDS COMPANY (P)</t>
  </si>
  <si>
    <t>3933</t>
  </si>
  <si>
    <t>3937</t>
  </si>
  <si>
    <t>CAMISETA AZUL ESTONADA BSTRDS COMPANY (2XG)</t>
  </si>
  <si>
    <t>ESTOQUE GERAL - SOUVENIR</t>
  </si>
  <si>
    <t>203942</t>
  </si>
  <si>
    <t>CAMISETA AZUL ESTONADA BSTRDS COMPANY (G)</t>
  </si>
  <si>
    <t>203939</t>
  </si>
  <si>
    <t>CAMISETA AZUL ESTONADA BSTRDS COMPANY (GG)</t>
  </si>
  <si>
    <t>203940</t>
  </si>
  <si>
    <t>CAMISETA AZUL ESTONADA BSTRDS COMPANY (M)</t>
  </si>
  <si>
    <t>203938</t>
  </si>
  <si>
    <t>CAMISETA AZUL ESTONADA BSTRDS COMPANY (P)</t>
  </si>
  <si>
    <t>203937</t>
  </si>
  <si>
    <t>CAMISETA AZUL ESTONADA BSTRDS COMPANY (PP)</t>
  </si>
  <si>
    <t>203936</t>
  </si>
  <si>
    <t>CAMISETA AZUL ESTONADA BSTRDS COMPANY (XG)</t>
  </si>
  <si>
    <t>203941</t>
  </si>
  <si>
    <t>CAMISETA AZUL ESTONADA COMPANY (2XG)</t>
  </si>
  <si>
    <t>203792</t>
  </si>
  <si>
    <t>CAMISETA AZUL ESTONADA COMPANY (G)</t>
  </si>
  <si>
    <t>203789</t>
  </si>
  <si>
    <t>CAMISETA AZUL ESTONADA COMPANY (GG)</t>
  </si>
  <si>
    <t>203790</t>
  </si>
  <si>
    <t>CAMISETA AZUL ESTONADA COMPANY (M)</t>
  </si>
  <si>
    <t>203788</t>
  </si>
  <si>
    <t>CAMISETA AZUL ESTONADA COMPANY (P)</t>
  </si>
  <si>
    <t>203787</t>
  </si>
  <si>
    <t>CAMISETA AZUL ESTONADA COMPANY (XG)</t>
  </si>
  <si>
    <t>203791</t>
  </si>
  <si>
    <t>CAMISETA CHUMBO BSTRDS COMPANY (2XG)</t>
  </si>
  <si>
    <t>203935</t>
  </si>
  <si>
    <t>203999</t>
  </si>
  <si>
    <t>CAMISETA CHUMBO BSTRDS COMPANY (G)</t>
  </si>
  <si>
    <t>203932</t>
  </si>
  <si>
    <t>CAMISETA CHUMBO BSTRDS COMPANY (GG)</t>
  </si>
  <si>
    <t>203933</t>
  </si>
  <si>
    <t>CAMISETA CHUMBO BSTRDS COMPANY (M)</t>
  </si>
  <si>
    <t>203931</t>
  </si>
  <si>
    <t>CAMISETA CHUMBO BSTRDS COMPANY (P)</t>
  </si>
  <si>
    <t>203930</t>
  </si>
  <si>
    <t>CAMISETA CHUMBO BSTRDS COMPANY (PP)</t>
  </si>
  <si>
    <t>203929</t>
  </si>
  <si>
    <t>CAMISETA CHUMBO BSTRDS COMPANY (XG)</t>
  </si>
  <si>
    <t>203934</t>
  </si>
  <si>
    <t>CAMISETA MASC. 3 DOGS - BRANCA (2XG)</t>
  </si>
  <si>
    <t>396</t>
  </si>
  <si>
    <t>CAMISETA MASC. 3 DOGS - BRANCA (3XG)</t>
  </si>
  <si>
    <t>397</t>
  </si>
  <si>
    <t>CAMISETA MASC. 3 DOGS - BRANCA (G)</t>
  </si>
  <si>
    <t>393</t>
  </si>
  <si>
    <t>CAMISETA MASC. 3 DOGS - BRANCA (GG)</t>
  </si>
  <si>
    <t>394</t>
  </si>
  <si>
    <t>CAMISETA MASC. 3 DOGS - BRANCA (M)</t>
  </si>
  <si>
    <t>392</t>
  </si>
  <si>
    <t>CAMISETA MASC. 3 DOGS - BRANCA (P)</t>
  </si>
  <si>
    <t>391</t>
  </si>
  <si>
    <t>CAMISETA MASC. 3 DOGS - BRANCA (XG)</t>
  </si>
  <si>
    <t>395</t>
  </si>
  <si>
    <t>203928</t>
  </si>
  <si>
    <t>203998</t>
  </si>
  <si>
    <t>203925</t>
  </si>
  <si>
    <t>203926</t>
  </si>
  <si>
    <t>203924</t>
  </si>
  <si>
    <t>203923</t>
  </si>
  <si>
    <t>CAMISETA MOSTARDA BSTRDS COMPANY (PP)</t>
  </si>
  <si>
    <t>203922</t>
  </si>
  <si>
    <t>203927</t>
  </si>
  <si>
    <t>CAMISETA PRETA ESTONADA BSTRDS COMPANY (2XG)</t>
  </si>
  <si>
    <t>4080</t>
  </si>
  <si>
    <t>4083</t>
  </si>
  <si>
    <t>4082</t>
  </si>
  <si>
    <t>4084</t>
  </si>
  <si>
    <t>CAMISETA PRETA ESTONADA BSTRDS COMPANY (P)</t>
  </si>
  <si>
    <t>4095</t>
  </si>
  <si>
    <t>4081</t>
  </si>
  <si>
    <t>CAMISETA VERDE ESTONADA BSTRDS COMPANY (2XG)</t>
  </si>
  <si>
    <t>203949</t>
  </si>
  <si>
    <t>CAMISETA VERDE ESTONADA BSTRDS COMPANY (G)</t>
  </si>
  <si>
    <t>203946</t>
  </si>
  <si>
    <t>CAMISETA VERDE ESTONADA BSTRDS COMPANY (GG)</t>
  </si>
  <si>
    <t>203947</t>
  </si>
  <si>
    <t>CAMISETA VERDE ESTONADA BSTRDS COMPANY (M)</t>
  </si>
  <si>
    <t>203945</t>
  </si>
  <si>
    <t>CAMISETA VERDE ESTONADA BSTRDS COMPANY (P)</t>
  </si>
  <si>
    <t>203944</t>
  </si>
  <si>
    <t>CAMISETA VERDE ESTONADA BSTRDS COMPANY (PP)</t>
  </si>
  <si>
    <t>203943</t>
  </si>
  <si>
    <t>CAMISETA VERDE ESTONADA BSTRDS COMPANY (XG)</t>
  </si>
  <si>
    <t>203948</t>
  </si>
  <si>
    <t>CAMISETA VERDE ESTONADA NO RULES (2XG)</t>
  </si>
  <si>
    <t>203816</t>
  </si>
  <si>
    <t>CAMISETA VERDE ESTONADA NO RULES (G)</t>
  </si>
  <si>
    <t>203813</t>
  </si>
  <si>
    <t>CAMISETA VERDE ESTONADA NO RULES (GG)</t>
  </si>
  <si>
    <t>203814</t>
  </si>
  <si>
    <t>CAMISETA VERDE ESTONADA NO RULES (M)</t>
  </si>
  <si>
    <t>203812</t>
  </si>
  <si>
    <t>CAMISETA VERDE ESTONADA NO RULES (P)</t>
  </si>
  <si>
    <t>203811</t>
  </si>
  <si>
    <t>CAMISETA VERDE ESTONADA NO RULES (XG)</t>
  </si>
  <si>
    <t>203815</t>
  </si>
  <si>
    <t>CAMPARI</t>
  </si>
  <si>
    <t>56</t>
  </si>
  <si>
    <t>2465</t>
  </si>
  <si>
    <t>CAMPARI TONIC DOUBLE</t>
  </si>
  <si>
    <t>784</t>
  </si>
  <si>
    <t>CAMPARI- ESTOQUE TAP</t>
  </si>
  <si>
    <t>1016</t>
  </si>
  <si>
    <t>CANECA METAL - BAR DA FABRICA AZUL</t>
  </si>
  <si>
    <t>621</t>
  </si>
  <si>
    <t>CANECA METAL - BAR DA FABRICA VERMELHA</t>
  </si>
  <si>
    <t>620</t>
  </si>
  <si>
    <t>CANELA EM PO - ESTOQUE TAP</t>
  </si>
  <si>
    <t>4889</t>
  </si>
  <si>
    <t>CANELA EM RAMA</t>
  </si>
  <si>
    <t>1446</t>
  </si>
  <si>
    <t>CANETA ESFEROGRAFICA  - ESTOQUE TAP</t>
  </si>
  <si>
    <t>6179</t>
  </si>
  <si>
    <t>CANETA RETROPROJETOR</t>
  </si>
  <si>
    <t>911</t>
  </si>
  <si>
    <t>CANUDO</t>
  </si>
  <si>
    <t>909</t>
  </si>
  <si>
    <t>CAPELACCI - ESTOQUE TAP</t>
  </si>
  <si>
    <t>3585</t>
  </si>
  <si>
    <t>CAPELACCI RECHEADO</t>
  </si>
  <si>
    <t>4186</t>
  </si>
  <si>
    <t>CAPPUCCINO</t>
  </si>
  <si>
    <t>4149</t>
  </si>
  <si>
    <t>CAPPUCCINO + CUPCAKE</t>
  </si>
  <si>
    <t>5488</t>
  </si>
  <si>
    <t>CAPPUCCINO + CUPCAKE DE TANGERINA</t>
  </si>
  <si>
    <t>5489</t>
  </si>
  <si>
    <t>CAPPUCCINO + CUPCAKE DE TANGERINA - CÓPIA</t>
  </si>
  <si>
    <t>5490</t>
  </si>
  <si>
    <t>CAPSULA DE GAS MAÇARICO</t>
  </si>
  <si>
    <t>2823</t>
  </si>
  <si>
    <t>4806</t>
  </si>
  <si>
    <t>6511</t>
  </si>
  <si>
    <t>CARNE ANCHO - ESTOQUE TAP</t>
  </si>
  <si>
    <t>1562</t>
  </si>
  <si>
    <t>CARNE BARRIGA SUINA - ESTOQUE</t>
  </si>
  <si>
    <t>1398</t>
  </si>
  <si>
    <t>CARNE COSTELA BOVINA SEM OSSO - ESTOQUE</t>
  </si>
  <si>
    <t>1510</t>
  </si>
  <si>
    <t>CARNE DE ONCA</t>
  </si>
  <si>
    <t>T - CARDAPIO COMIDA - T - PORCOES</t>
  </si>
  <si>
    <t>3359</t>
  </si>
  <si>
    <t>CARNE FILE MIGNON - ESTOQUE</t>
  </si>
  <si>
    <t>1454</t>
  </si>
  <si>
    <t>CARNE JOELHO EISBEN SUINO - ESTOQUE TAP</t>
  </si>
  <si>
    <t>1593</t>
  </si>
  <si>
    <t>5202</t>
  </si>
  <si>
    <t>CARNE PRIME RIB BOVINA - ESTOQUE TAP</t>
  </si>
  <si>
    <t>80</t>
  </si>
  <si>
    <t>CARNE PRIME RIB SUINA - ESTOQUE TAP</t>
  </si>
  <si>
    <t>1455</t>
  </si>
  <si>
    <t>3544</t>
  </si>
  <si>
    <t>CARNE T-BONE SUINO - ESTOQUE TAP</t>
  </si>
  <si>
    <t>2687</t>
  </si>
  <si>
    <t>CARTEIRA COLLAB LUMBERMAN MARROM</t>
  </si>
  <si>
    <t>653</t>
  </si>
  <si>
    <t>CARTEIRA COLLAB LUMBERMAN PRETO</t>
  </si>
  <si>
    <t>654</t>
  </si>
  <si>
    <t>3502</t>
  </si>
  <si>
    <t>CASE DE VIAGEM PARA 5 CHARUTOS</t>
  </si>
  <si>
    <t>674</t>
  </si>
  <si>
    <t>5608</t>
  </si>
  <si>
    <t>3721</t>
  </si>
  <si>
    <t>CATHARINA SOUR FRUTAS VERMELHAS - ESTOQUE</t>
  </si>
  <si>
    <t>1288</t>
  </si>
  <si>
    <t>CD MACUMBAZILLA</t>
  </si>
  <si>
    <t>295</t>
  </si>
  <si>
    <t>CEBOLA  CONSERVA CHALOTA</t>
  </si>
  <si>
    <t>1460</t>
  </si>
  <si>
    <t>CEBOLA BRANCA - ESTOQUE TAP</t>
  </si>
  <si>
    <t>1487</t>
  </si>
  <si>
    <t>3083</t>
  </si>
  <si>
    <t>CEBOLA CRISPY - TAP</t>
  </si>
  <si>
    <t>3079</t>
  </si>
  <si>
    <t>CEBOLA EM PO - ESTOQUE TAP</t>
  </si>
  <si>
    <t>1462</t>
  </si>
  <si>
    <t>CEBOLA EMPANADA CROCANTE - ESTOQUE TAP</t>
  </si>
  <si>
    <t>3854</t>
  </si>
  <si>
    <t>CEBOLA ROXA - ESTOQUE TAP</t>
  </si>
  <si>
    <t>1493</t>
  </si>
  <si>
    <t>CEBOLETE</t>
  </si>
  <si>
    <t>1465</t>
  </si>
  <si>
    <t>CEBOLINHA - ESTOQUE TAP</t>
  </si>
  <si>
    <t>5206</t>
  </si>
  <si>
    <t>CENOURA - ESTOQUE TAP</t>
  </si>
  <si>
    <t>1509</t>
  </si>
  <si>
    <t>5774</t>
  </si>
  <si>
    <t>6211</t>
  </si>
  <si>
    <t>CEREJA MARRASQUINO - ESTOQUE TAP</t>
  </si>
  <si>
    <t>2691</t>
  </si>
  <si>
    <t>CERVEJA  PEACH PIE LATA 473ML</t>
  </si>
  <si>
    <t>241</t>
  </si>
  <si>
    <t>CERVEJA  SIM IPA SEM ALCOOL LATA 350ML</t>
  </si>
  <si>
    <t>6776</t>
  </si>
  <si>
    <t>CERVEJA  SIM MARACUJA SOUR N SALT SEM ALCOOL LATA 350ML</t>
  </si>
  <si>
    <t>6779</t>
  </si>
  <si>
    <t>CERVEJA  SIM MELANCIA SOUR N SALT SEM ALCOOL LATA 350ML</t>
  </si>
  <si>
    <t>6778</t>
  </si>
  <si>
    <t>CERVEJA ACID BLOOD LATA 473ML</t>
  </si>
  <si>
    <t>323</t>
  </si>
  <si>
    <t>CERVEJA AINÂT MY PEACH LATA 473ML</t>
  </si>
  <si>
    <t>242</t>
  </si>
  <si>
    <t>5713</t>
  </si>
  <si>
    <t>2285</t>
  </si>
  <si>
    <t>CERVEJA BASTARDS &amp; NARREAL - CHRISTMAS PUDDING 473ML</t>
  </si>
  <si>
    <t>252</t>
  </si>
  <si>
    <t>CERVEJA BASTARDS RANNA RIDER SOUR 473ML</t>
  </si>
  <si>
    <t>5675</t>
  </si>
  <si>
    <t>CERVEJA CAFE DA MANHA EM BEAGA  LATA 473ML</t>
  </si>
  <si>
    <t>3269</t>
  </si>
  <si>
    <t>CERVEJA DADIVA - SEM ALCOOL</t>
  </si>
  <si>
    <t>253</t>
  </si>
  <si>
    <t>CERVEJA DADIVA - SEM GLUTEN</t>
  </si>
  <si>
    <t>168</t>
  </si>
  <si>
    <t>CERVEJA DADIVA HELLO SUNSHINE SEM ALCOOL TAP</t>
  </si>
  <si>
    <t>5659</t>
  </si>
  <si>
    <t>CERVEJA DARK SIDE LATA 473ML</t>
  </si>
  <si>
    <t>319</t>
  </si>
  <si>
    <t>2886</t>
  </si>
  <si>
    <t>4057</t>
  </si>
  <si>
    <t>CERVEJA GOBE - HOP PARADISE</t>
  </si>
  <si>
    <t>293</t>
  </si>
  <si>
    <t>CERVEJA GOBE BROWNIE LATA 473ML</t>
  </si>
  <si>
    <t>276</t>
  </si>
  <si>
    <t>CERVEJA GOBE TIRAMISSU LATA 473ML</t>
  </si>
  <si>
    <t>275</t>
  </si>
  <si>
    <t>CERVEJA HECTOR FIVE ROUNDS LATA 473ML</t>
  </si>
  <si>
    <t>331</t>
  </si>
  <si>
    <t>6029</t>
  </si>
  <si>
    <t>3140</t>
  </si>
  <si>
    <t>CERVEJA JUICY JILL LATA 473ML</t>
  </si>
  <si>
    <t>318</t>
  </si>
  <si>
    <t>CERVEJA LATA HERMES E RENATO 350ML</t>
  </si>
  <si>
    <t>274</t>
  </si>
  <si>
    <t>CERVEJA MOLOSSO LATA 473ML</t>
  </si>
  <si>
    <t>841</t>
  </si>
  <si>
    <t>1079</t>
  </si>
  <si>
    <t>CERVEJA PEROLA NEGRA LATA 473ML</t>
  </si>
  <si>
    <t>684</t>
  </si>
  <si>
    <t>2951</t>
  </si>
  <si>
    <t>6777</t>
  </si>
  <si>
    <t>3129</t>
  </si>
  <si>
    <t>CERVEJA XP - AMERICAN STRONG ALE 473ML</t>
  </si>
  <si>
    <t>243</t>
  </si>
  <si>
    <t>CERVEJA XP 083 - SOUR BRUTT R LATA 473ML</t>
  </si>
  <si>
    <t>337</t>
  </si>
  <si>
    <t>CERVEJA YELLOW IS THE NEW COFFE LATA 473ML</t>
  </si>
  <si>
    <t>259</t>
  </si>
  <si>
    <t>CERVEJA ZE DO MORRO LATA 473ML -</t>
  </si>
  <si>
    <t>3141</t>
  </si>
  <si>
    <t>5559</t>
  </si>
  <si>
    <t>4454</t>
  </si>
  <si>
    <t>5891</t>
  </si>
  <si>
    <t>4918</t>
  </si>
  <si>
    <t>CHA MISTO MORANGO/MANGA TWININGS - ESTOQUE TAP</t>
  </si>
  <si>
    <t>6149</t>
  </si>
  <si>
    <t>CHA TWININGS FRUTAS SILVESTRES - TAP</t>
  </si>
  <si>
    <t>5806</t>
  </si>
  <si>
    <t>CHA TWININGS FRUTAS VERMELHAS - ESTOQUE TAP</t>
  </si>
  <si>
    <t>4285</t>
  </si>
  <si>
    <t>5613</t>
  </si>
  <si>
    <t>5719</t>
  </si>
  <si>
    <t>CHA TWININGS VERDE HORTELA</t>
  </si>
  <si>
    <t>5807</t>
  </si>
  <si>
    <t>CHANTILLY - ESTOQUE TAP</t>
  </si>
  <si>
    <t>3852</t>
  </si>
  <si>
    <t>3715</t>
  </si>
  <si>
    <t>CHARUTO DEL PATRON CORONA</t>
  </si>
  <si>
    <t>6341</t>
  </si>
  <si>
    <t>CHARUTO DEL PATRON ROBUSTO</t>
  </si>
  <si>
    <t>3714</t>
  </si>
  <si>
    <t>CHARUTO DON BLEND GRAN ROBUSTO</t>
  </si>
  <si>
    <t>249</t>
  </si>
  <si>
    <t>3717</t>
  </si>
  <si>
    <t>CHARUTO JOYA DE NICARAGUA PICOLLINO</t>
  </si>
  <si>
    <t>235</t>
  </si>
  <si>
    <t>CHARUTO LA GALERA CONNECTICUT</t>
  </si>
  <si>
    <t>3718</t>
  </si>
  <si>
    <t>4780</t>
  </si>
  <si>
    <t>CHARUTO ROSALONES 444</t>
  </si>
  <si>
    <t>3716</t>
  </si>
  <si>
    <t>CHARUTO TOSCANELLO</t>
  </si>
  <si>
    <t>247</t>
  </si>
  <si>
    <t>5609</t>
  </si>
  <si>
    <t>CHARUTO TOSCANO CLA¡SSICO</t>
  </si>
  <si>
    <t>246</t>
  </si>
  <si>
    <t>CHARUTO TOSCANO GARIBALDI</t>
  </si>
  <si>
    <t>260</t>
  </si>
  <si>
    <t>CHAVEIRO ABRIDOR - 7 MANDAMENTO</t>
  </si>
  <si>
    <t>900</t>
  </si>
  <si>
    <t>CHAVEIRO ABRIDOR - BSTRDS AMARELO (PRETO)</t>
  </si>
  <si>
    <t>571</t>
  </si>
  <si>
    <t>CHAVEIRO ABRIDOR - BSTRDS PRETO (VERMELHO)</t>
  </si>
  <si>
    <t>570</t>
  </si>
  <si>
    <t>CHAVEIRO ABRIDOR - BSTRDS VERMELHO (PRETO)</t>
  </si>
  <si>
    <t>569</t>
  </si>
  <si>
    <t>CHAVEIRO ABRIDOR - DOG LOGO (AMA E PTO)</t>
  </si>
  <si>
    <t>352</t>
  </si>
  <si>
    <t>CHAVEIRO ABRIDOR - MANDAMENTO 1</t>
  </si>
  <si>
    <t>899</t>
  </si>
  <si>
    <t>CHAVEIRO ABRIDOR - MANDAMENTO 2</t>
  </si>
  <si>
    <t>898</t>
  </si>
  <si>
    <t>CHAVEIRO ABRIDOR - MANDAMENTO 3</t>
  </si>
  <si>
    <t>897</t>
  </si>
  <si>
    <t>CHAVEIRO ABRIDOR - MANDAMENTO 4</t>
  </si>
  <si>
    <t>896</t>
  </si>
  <si>
    <t>CHAVEIRO ABRIDOR - MANDAMENTO 5</t>
  </si>
  <si>
    <t>895</t>
  </si>
  <si>
    <t>CHAVEIRO ABRIDOR - MANDAMENTO 6</t>
  </si>
  <si>
    <t>894</t>
  </si>
  <si>
    <t>CHAVEIRO ABRIDOR - MANDAMENTO 7</t>
  </si>
  <si>
    <t>893</t>
  </si>
  <si>
    <t>CHEDDAR BISNAGA - ESTOQUE TAP</t>
  </si>
  <si>
    <t>1473</t>
  </si>
  <si>
    <t>CHEIRO VERDE - ESTOQUE TAP</t>
  </si>
  <si>
    <t>5267</t>
  </si>
  <si>
    <t>CHIA - ESTOQUE TAP</t>
  </si>
  <si>
    <t>2513</t>
  </si>
  <si>
    <t>CHICORIA ROXA - ESTOQUE TAP</t>
  </si>
  <si>
    <t>167</t>
  </si>
  <si>
    <t>CHIMICHURRI - ESTOQUE TAP</t>
  </si>
  <si>
    <t>1475</t>
  </si>
  <si>
    <t>CHINELO BASTARDS</t>
  </si>
  <si>
    <t>379</t>
  </si>
  <si>
    <t>CHOCOLATE BRANCO BARRA - ESTOQUE</t>
  </si>
  <si>
    <t>1476</t>
  </si>
  <si>
    <t>CHOCOLATE GELADO</t>
  </si>
  <si>
    <t>30</t>
  </si>
  <si>
    <t>1480</t>
  </si>
  <si>
    <t>CHOCOLATE QUENTE</t>
  </si>
  <si>
    <t>31</t>
  </si>
  <si>
    <t>5150</t>
  </si>
  <si>
    <t>6494</t>
  </si>
  <si>
    <t>CHOPE  HESPANHA RUBIN- ESTOQUE TAP</t>
  </si>
  <si>
    <t>6701</t>
  </si>
  <si>
    <t>6580</t>
  </si>
  <si>
    <t>6366</t>
  </si>
  <si>
    <t>CHOPE  IRONICA HOPLAND - ESTOQUE TAP</t>
  </si>
  <si>
    <t>6364</t>
  </si>
  <si>
    <t>6581</t>
  </si>
  <si>
    <t>6685</t>
  </si>
  <si>
    <t>CHOPE  KHARMA IPA - ESTOQUE</t>
  </si>
  <si>
    <t>1265</t>
  </si>
  <si>
    <t>6633</t>
  </si>
  <si>
    <t>CHOPE  MACACO VELHO SMASH IPA</t>
  </si>
  <si>
    <t>6509</t>
  </si>
  <si>
    <t>6370</t>
  </si>
  <si>
    <t>CHOPE  MANICS BROOKLYN EAST IPA - ESTOQUE TAP</t>
  </si>
  <si>
    <t>6371</t>
  </si>
  <si>
    <t>CHOPE  MARIA NAVALHA  - ESTOQUE TAP</t>
  </si>
  <si>
    <t>3728</t>
  </si>
  <si>
    <t>3730</t>
  </si>
  <si>
    <t>3729</t>
  </si>
  <si>
    <t>5199</t>
  </si>
  <si>
    <t>CHOPE  MAXIMA DOUBLE IPA - ESTOQUE</t>
  </si>
  <si>
    <t>1271</t>
  </si>
  <si>
    <t>5074</t>
  </si>
  <si>
    <t>3617</t>
  </si>
  <si>
    <t>2743</t>
  </si>
  <si>
    <t>3389</t>
  </si>
  <si>
    <t>3388</t>
  </si>
  <si>
    <t>3054</t>
  </si>
  <si>
    <t>CHOPE  TITANUS NEW ENGLAND - 300ML</t>
  </si>
  <si>
    <t>2786</t>
  </si>
  <si>
    <t>2785</t>
  </si>
  <si>
    <t>2784</t>
  </si>
  <si>
    <t>CHOPE - MARK THE PÁSCOA 300ML</t>
  </si>
  <si>
    <t>6768</t>
  </si>
  <si>
    <t>CHOPE - MARK THE PÁSCOA 400ML</t>
  </si>
  <si>
    <t>59</t>
  </si>
  <si>
    <t>CHOPE 4 HOPS IRISH RED ALE - ESTOQUE</t>
  </si>
  <si>
    <t>1088</t>
  </si>
  <si>
    <t>CHOPE 4HOPS CHRONOS - 300ML</t>
  </si>
  <si>
    <t>3677</t>
  </si>
  <si>
    <t>1087</t>
  </si>
  <si>
    <t>CHOPE 4HOPS IRISH RED ALE - 300ML</t>
  </si>
  <si>
    <t>754</t>
  </si>
  <si>
    <t>CHOPE 4HOPS IRISH RED ALE - 400ML</t>
  </si>
  <si>
    <t>753</t>
  </si>
  <si>
    <t>1890</t>
  </si>
  <si>
    <t>1900</t>
  </si>
  <si>
    <t>1901</t>
  </si>
  <si>
    <t>CHOPE ACID EATERS- 300ML</t>
  </si>
  <si>
    <t>4509</t>
  </si>
  <si>
    <t>4508</t>
  </si>
  <si>
    <t>CHOPE ACID EATERS- ESTOQUE TAP</t>
  </si>
  <si>
    <t>4439</t>
  </si>
  <si>
    <t>CHOPE ALL ALONG- 300ML</t>
  </si>
  <si>
    <t>4993</t>
  </si>
  <si>
    <t>4992</t>
  </si>
  <si>
    <t>4989</t>
  </si>
  <si>
    <t>CHOPE ALL IN   300ML -</t>
  </si>
  <si>
    <t>2245</t>
  </si>
  <si>
    <t>CHOPE ALL IN  - ESTOQUE -</t>
  </si>
  <si>
    <t>2244</t>
  </si>
  <si>
    <t>2246</t>
  </si>
  <si>
    <t>5184</t>
  </si>
  <si>
    <t>5178</t>
  </si>
  <si>
    <t>6369</t>
  </si>
  <si>
    <t>CHOPE ALRIGHT LOVELY DAY - 400ML</t>
  </si>
  <si>
    <t>6368</t>
  </si>
  <si>
    <t>CHOPE ALRIGHT LOVELY DAY - ESTOQUE TAP</t>
  </si>
  <si>
    <t>6367</t>
  </si>
  <si>
    <t>CHOPE AMERICAN IPA DE VERAO - ESTOQUE TAP</t>
  </si>
  <si>
    <t>3802</t>
  </si>
  <si>
    <t>1926</t>
  </si>
  <si>
    <t>1929</t>
  </si>
  <si>
    <t>1922</t>
  </si>
  <si>
    <t>CHOPE ANARQUICA DARK DAWN  - ESTOQUE TAP</t>
  </si>
  <si>
    <t>3401</t>
  </si>
  <si>
    <t>3403</t>
  </si>
  <si>
    <t>CHOPE ANARQUICA DARK DAWN - 400ML</t>
  </si>
  <si>
    <t>3402</t>
  </si>
  <si>
    <t>CHOPE ANARQUICA HAHAHAKA - 300ML</t>
  </si>
  <si>
    <t>3881</t>
  </si>
  <si>
    <t>3880</t>
  </si>
  <si>
    <t>4609</t>
  </si>
  <si>
    <t>6331</t>
  </si>
  <si>
    <t>CHOPE ARTIC MOON COLD IPA - 300ML</t>
  </si>
  <si>
    <t>4340</t>
  </si>
  <si>
    <t>4339</t>
  </si>
  <si>
    <t>4338</t>
  </si>
  <si>
    <t>CHOPE BASTARDS + GO BREW - MARACAJU - 300ML</t>
  </si>
  <si>
    <t>5151</t>
  </si>
  <si>
    <t>5149</t>
  </si>
  <si>
    <t>CHOPE BASTARDS JEAN LE BLANC -ESTOQUE TAP</t>
  </si>
  <si>
    <t>1159</t>
  </si>
  <si>
    <t>3043</t>
  </si>
  <si>
    <t>3042</t>
  </si>
  <si>
    <t>CHOPE BASTARDS UM BRINDE A ELAS - ESTOQUE TAP</t>
  </si>
  <si>
    <t>4614</t>
  </si>
  <si>
    <t>CHOPE BASTARDS XP 093 DNEIPA COM CAFE - 300ML</t>
  </si>
  <si>
    <t>5912</t>
  </si>
  <si>
    <t>5911</t>
  </si>
  <si>
    <t>CHOPE BASTARDS XP093 DNEIPA COM CAFE - 400ML</t>
  </si>
  <si>
    <t>5909</t>
  </si>
  <si>
    <t>5908</t>
  </si>
  <si>
    <t>5907</t>
  </si>
  <si>
    <t>CHOPE BASTARDS XP095 BROWN IPA - 300ML</t>
  </si>
  <si>
    <t>6298</t>
  </si>
  <si>
    <t>CHOPE BASTARDS XP095 BROWN IPA - 400ML</t>
  </si>
  <si>
    <t>6297</t>
  </si>
  <si>
    <t>CHOPE BASTARDS XP92 GOLDEN NEW ENGLAND IPA - 300ML</t>
  </si>
  <si>
    <t>5292</t>
  </si>
  <si>
    <t>5291</t>
  </si>
  <si>
    <t>5290</t>
  </si>
  <si>
    <t>CHOPE BASTARDS ZE DO MORRO P. LAGER  300ML</t>
  </si>
  <si>
    <t>705</t>
  </si>
  <si>
    <t>CHOPE BASTARDS ZE DO MORRO P. LAGER 400ML</t>
  </si>
  <si>
    <t>1253</t>
  </si>
  <si>
    <t>3124</t>
  </si>
  <si>
    <t>3123</t>
  </si>
  <si>
    <t>3125</t>
  </si>
  <si>
    <t>2639</t>
  </si>
  <si>
    <t>2640</t>
  </si>
  <si>
    <t>CHOPE BERUS BERLINER WEISSE - ESTOQUE</t>
  </si>
  <si>
    <t>292</t>
  </si>
  <si>
    <t>CHOPE BERUS SOUR 300ML</t>
  </si>
  <si>
    <t>842</t>
  </si>
  <si>
    <t>CHOPE BERUS SOUR 400ML</t>
  </si>
  <si>
    <t>845</t>
  </si>
  <si>
    <t>CHOPE BETTER CALL SOUR - 300ML</t>
  </si>
  <si>
    <t>4478</t>
  </si>
  <si>
    <t>CHOPE BETTER CALL SOUR - 400ML</t>
  </si>
  <si>
    <t>4477</t>
  </si>
  <si>
    <t>CHOPE BLACK MARIA- 300ML</t>
  </si>
  <si>
    <t>4917</t>
  </si>
  <si>
    <t>4916</t>
  </si>
  <si>
    <t>4915</t>
  </si>
  <si>
    <t>CHOPE BLACK NAPALM - 250ML</t>
  </si>
  <si>
    <t>2981</t>
  </si>
  <si>
    <t>2979</t>
  </si>
  <si>
    <t>4434</t>
  </si>
  <si>
    <t>5162</t>
  </si>
  <si>
    <t>CHOPE BONNA - EASY RIDER - NEIPA - 400ML</t>
  </si>
  <si>
    <t>5164</t>
  </si>
  <si>
    <t>6703</t>
  </si>
  <si>
    <t>CHOPE BONNA BEER  - BONNA 6 NAOS  - 300ML</t>
  </si>
  <si>
    <t>6754</t>
  </si>
  <si>
    <t>6753</t>
  </si>
  <si>
    <t>CHOPE BONNA BEER NAKED PUNCH - ESTOQUE TAP</t>
  </si>
  <si>
    <t>6022</t>
  </si>
  <si>
    <t>CHOPE BONNA BEER NAKED PUNCH 300ML</t>
  </si>
  <si>
    <t>6024</t>
  </si>
  <si>
    <t>CHOPE BONNA BEER NAKED PUNCH 400ML</t>
  </si>
  <si>
    <t>6023</t>
  </si>
  <si>
    <t>CHOPE BONNA BEER SHE IS SO COLD 300ML</t>
  </si>
  <si>
    <t>6207</t>
  </si>
  <si>
    <t>CHOPE BONNA BEER SHE IS SO COLD 400ML</t>
  </si>
  <si>
    <t>6208</t>
  </si>
  <si>
    <t>CHOPE BONNA BEER SURFIN BIRD AMERICAN IPA - 300ML</t>
  </si>
  <si>
    <t>5667</t>
  </si>
  <si>
    <t>5668</t>
  </si>
  <si>
    <t>5666</t>
  </si>
  <si>
    <t>CHOPE BONNA DARK LAGER - ESTOQUE TAP</t>
  </si>
  <si>
    <t>5159</t>
  </si>
  <si>
    <t>5158</t>
  </si>
  <si>
    <t>4869</t>
  </si>
  <si>
    <t>4872</t>
  </si>
  <si>
    <t>4870</t>
  </si>
  <si>
    <t>CHOPE BONNA SHE IS SO COLD - ESTOQUE TAP</t>
  </si>
  <si>
    <t>6212</t>
  </si>
  <si>
    <t>6574</t>
  </si>
  <si>
    <t>6575</t>
  </si>
  <si>
    <t>6573</t>
  </si>
  <si>
    <t>CHOPE BOREAL MOON - ESTOQUE</t>
  </si>
  <si>
    <t>1189</t>
  </si>
  <si>
    <t>CHOPE BOREAL MOON 300ML</t>
  </si>
  <si>
    <t>955</t>
  </si>
  <si>
    <t>CHOPE BOREAL MOON 400ML</t>
  </si>
  <si>
    <t>956</t>
  </si>
  <si>
    <t>CHOPE BRINCADEIRAS BASTARDAS</t>
  </si>
  <si>
    <t>3632</t>
  </si>
  <si>
    <t>CHOPE BUDDY KARMA 300ML</t>
  </si>
  <si>
    <t>856</t>
  </si>
  <si>
    <t>CHOPE BUDDY KARMA 400ML</t>
  </si>
  <si>
    <t>857</t>
  </si>
  <si>
    <t>4297</t>
  </si>
  <si>
    <t>CHOPE CAFE DA MANHA EM BEAGA - 300ML</t>
  </si>
  <si>
    <t>3322</t>
  </si>
  <si>
    <t>3321</t>
  </si>
  <si>
    <t>CHOPE CAJU ATOMICO - 300ML</t>
  </si>
  <si>
    <t>3408</t>
  </si>
  <si>
    <t>3409</t>
  </si>
  <si>
    <t>CHOPE CAJU ATOMICO - ESTOQUE TAP</t>
  </si>
  <si>
    <t>3400</t>
  </si>
  <si>
    <t>CHOPE CAJUABA- ESTOQUE TAP</t>
  </si>
  <si>
    <t>6163</t>
  </si>
  <si>
    <t>CHOPE CALIFORNIA COMMON- 300ML</t>
  </si>
  <si>
    <t>2789</t>
  </si>
  <si>
    <t>2788</t>
  </si>
  <si>
    <t>CHOPE CAMU CAMU - 300ML</t>
  </si>
  <si>
    <t>4480</t>
  </si>
  <si>
    <t>4479</t>
  </si>
  <si>
    <t>3316</t>
  </si>
  <si>
    <t>CHOPE CANABICAO 2.0 - 300ML</t>
  </si>
  <si>
    <t>4180</t>
  </si>
  <si>
    <t>4179</t>
  </si>
  <si>
    <t>CHOPE CANABICAO 2.0 - ESTOQUE  TAP</t>
  </si>
  <si>
    <t>4174</t>
  </si>
  <si>
    <t>CHOPE CANABICAO- 300ML</t>
  </si>
  <si>
    <t>3318</t>
  </si>
  <si>
    <t>3317</t>
  </si>
  <si>
    <t>CHOPE CATHARINA SOUR COM FRUTAS VERMELHAS 300ML</t>
  </si>
  <si>
    <t>931</t>
  </si>
  <si>
    <t>CHOPE CATHARINA SOUR COM FRUTAS VERMELHAS 400ML</t>
  </si>
  <si>
    <t>932</t>
  </si>
  <si>
    <t>4221</t>
  </si>
  <si>
    <t>CHOPE CHAKRA-300ML</t>
  </si>
  <si>
    <t>4223</t>
  </si>
  <si>
    <t>4222</t>
  </si>
  <si>
    <t>5429</t>
  </si>
  <si>
    <t>5428</t>
  </si>
  <si>
    <t>CHOPE CHRONOS  - ESTOQUE TAP</t>
  </si>
  <si>
    <t>3675</t>
  </si>
  <si>
    <t>CHOPE COCONUT BURST- NEIPA COM COCO 400ML</t>
  </si>
  <si>
    <t>1619</t>
  </si>
  <si>
    <t>CHOPE COCONUT BURST-NEIPA COM COCO 300ML</t>
  </si>
  <si>
    <t>1617</t>
  </si>
  <si>
    <t>CHOPE COFFE SHOP NEW ENGLAND IPA 300ML</t>
  </si>
  <si>
    <t>835</t>
  </si>
  <si>
    <t>CHOPE COFFE SHOP NEW ENGLAND IPA 400ML</t>
  </si>
  <si>
    <t>837</t>
  </si>
  <si>
    <t>CHOPE COLAB BARK N HONK  - ESTOQUE</t>
  </si>
  <si>
    <t>1069</t>
  </si>
  <si>
    <t>CHOPE COLAB BARK N HONK - 300ML</t>
  </si>
  <si>
    <t>2988</t>
  </si>
  <si>
    <t>CHOPE COLAB BARK N HONK - 400ML</t>
  </si>
  <si>
    <t>1075</t>
  </si>
  <si>
    <t>2634</t>
  </si>
  <si>
    <t>712</t>
  </si>
  <si>
    <t>CHOPE CROSS ROOTS IMPERIAL IPA 300ML</t>
  </si>
  <si>
    <t>927</t>
  </si>
  <si>
    <t>CHOPE CROSS ROOTS IMPERIAL IPA 400ML</t>
  </si>
  <si>
    <t>928</t>
  </si>
  <si>
    <t>2768</t>
  </si>
  <si>
    <t>2767</t>
  </si>
  <si>
    <t>1125</t>
  </si>
  <si>
    <t>1291</t>
  </si>
  <si>
    <t>CHOPE DE BOLACHA  - ESTOQUE TAP</t>
  </si>
  <si>
    <t>3221</t>
  </si>
  <si>
    <t>1126</t>
  </si>
  <si>
    <t>3222</t>
  </si>
  <si>
    <t>CHOPE DE BOLACHA LATA 473ML</t>
  </si>
  <si>
    <t>336</t>
  </si>
  <si>
    <t>4269</t>
  </si>
  <si>
    <t>CHOPE DO DJANHO - 250ML</t>
  </si>
  <si>
    <t>4774</t>
  </si>
  <si>
    <t>4437</t>
  </si>
  <si>
    <t>CHOPE DOG SAVE THE BEER - 300ML</t>
  </si>
  <si>
    <t>720</t>
  </si>
  <si>
    <t>CHOPE DOG SAVE THE BEER - ESTOQUE</t>
  </si>
  <si>
    <t>1292</t>
  </si>
  <si>
    <t>CHOPE DOUBLE FOGGY YEAST MAGIC - ESTOQUE</t>
  </si>
  <si>
    <t>1611</t>
  </si>
  <si>
    <t>CHOPE DOUBLE FOGGY YEAST MAGIC 300ML</t>
  </si>
  <si>
    <t>1615</t>
  </si>
  <si>
    <t>CHOPE DOUBLE FOGGY YEAST MAGIC 400ML</t>
  </si>
  <si>
    <t>1613</t>
  </si>
  <si>
    <t>CHOPE DOUBLE TEIMOSA- 300ML</t>
  </si>
  <si>
    <t>4572</t>
  </si>
  <si>
    <t>4571</t>
  </si>
  <si>
    <t>4570</t>
  </si>
  <si>
    <t>CHOPE DOULBE FOGGY YEAST MAGIC - ESTOQUE</t>
  </si>
  <si>
    <t>1610</t>
  </si>
  <si>
    <t>CHOPE DUBLIN DROPS - ESTOQUE TAP</t>
  </si>
  <si>
    <t>3348</t>
  </si>
  <si>
    <t>3393</t>
  </si>
  <si>
    <t>3392</t>
  </si>
  <si>
    <t>CHOPE DUNKEL - 300ML</t>
  </si>
  <si>
    <t>5183</t>
  </si>
  <si>
    <t>CHOPE DUNKEL - 400ML</t>
  </si>
  <si>
    <t>5182</t>
  </si>
  <si>
    <t>CHOPE ELDORADO - 300ML</t>
  </si>
  <si>
    <t>5054</t>
  </si>
  <si>
    <t>5053</t>
  </si>
  <si>
    <t>5052</t>
  </si>
  <si>
    <t>CHOPE ENGLISH PALE ALE 300ML</t>
  </si>
  <si>
    <t>830</t>
  </si>
  <si>
    <t>CHOPE ENGLISH PALE ALE 400ML</t>
  </si>
  <si>
    <t>831</t>
  </si>
  <si>
    <t>2210</t>
  </si>
  <si>
    <t>2211</t>
  </si>
  <si>
    <t>2212</t>
  </si>
  <si>
    <t>CHOPE FLORA SOUR - ESTOQUE</t>
  </si>
  <si>
    <t>1132</t>
  </si>
  <si>
    <t>CHOPE FLORA SOUR 300ML</t>
  </si>
  <si>
    <t>833</t>
  </si>
  <si>
    <t>CHOPE FLORA SOUR 400ML</t>
  </si>
  <si>
    <t>838</t>
  </si>
  <si>
    <t>CHOPE FLOWER APA  - ESTOQUE</t>
  </si>
  <si>
    <t>987</t>
  </si>
  <si>
    <t>CHOPE FLY ME TO THE MOON - ESTOQUE</t>
  </si>
  <si>
    <t>1891</t>
  </si>
  <si>
    <t>CHOPE FLY TO THE MOON - NEW ENGLAND 300ML</t>
  </si>
  <si>
    <t>854</t>
  </si>
  <si>
    <t>CHOPE FLY TO THE MOON - NEW ENGLAND 400ML</t>
  </si>
  <si>
    <t>852</t>
  </si>
  <si>
    <t>CHOPE FORTUNA CHAI STOUT - 300ML</t>
  </si>
  <si>
    <t>6027</t>
  </si>
  <si>
    <t>6026</t>
  </si>
  <si>
    <t>6025</t>
  </si>
  <si>
    <t>CHOPE FREE HUGS- ESTOQUE</t>
  </si>
  <si>
    <t>2699</t>
  </si>
  <si>
    <t>CHOPE FREYA AMERICAN IPA - ESTOQUE TAP</t>
  </si>
  <si>
    <t>4309</t>
  </si>
  <si>
    <t>CHOPE FREYA- 300ML</t>
  </si>
  <si>
    <t>4313</t>
  </si>
  <si>
    <t>CHOPE FREYA- 400ML</t>
  </si>
  <si>
    <t>4312</t>
  </si>
  <si>
    <t>2230</t>
  </si>
  <si>
    <t>2228</t>
  </si>
  <si>
    <t>2229</t>
  </si>
  <si>
    <t>CHOPE FROHEN FELD DUNKELL - ESTOQUE TAP</t>
  </si>
  <si>
    <t>5176</t>
  </si>
  <si>
    <t>5068</t>
  </si>
  <si>
    <t>6078</t>
  </si>
  <si>
    <t>6756</t>
  </si>
  <si>
    <t>6755</t>
  </si>
  <si>
    <t>6702</t>
  </si>
  <si>
    <t>CHOPE FUMACONICA BREEZE BLOND (BLOND ALE) - 300ML</t>
  </si>
  <si>
    <t>731</t>
  </si>
  <si>
    <t>CHOPE FUMACONICA BREEZE BLOND (BLOND ALE) - 400ML</t>
  </si>
  <si>
    <t>732</t>
  </si>
  <si>
    <t>CHOPE FUMACONICA BREEZE BLONDE - ESTOQUE TAP</t>
  </si>
  <si>
    <t>1287</t>
  </si>
  <si>
    <t>CHOPE FUMACONICA COFFEE SHOP IPA - ESTOQUE</t>
  </si>
  <si>
    <t>1258</t>
  </si>
  <si>
    <t>CHOPE FUMACONICA HASH BLACK DOUBLE BLACK IPA - ESTOQUE TAP</t>
  </si>
  <si>
    <t>2343</t>
  </si>
  <si>
    <t>2346</t>
  </si>
  <si>
    <t>CHOPE FUMACONICA SUPER COFFE IPA - 300ML</t>
  </si>
  <si>
    <t>5110</t>
  </si>
  <si>
    <t>5109</t>
  </si>
  <si>
    <t>5107</t>
  </si>
  <si>
    <t>6609</t>
  </si>
  <si>
    <t>CHOPE GALILEO SESSION - ESTOQUE</t>
  </si>
  <si>
    <t>990</t>
  </si>
  <si>
    <t>CHOPE GANDUM WEIZEN-300ML</t>
  </si>
  <si>
    <t>4299</t>
  </si>
  <si>
    <t>CHOPE GANDUM WEIZEN-400ML</t>
  </si>
  <si>
    <t>4298</t>
  </si>
  <si>
    <t>1140</t>
  </si>
  <si>
    <t>CHOPE GARROTE- 300ML</t>
  </si>
  <si>
    <t>3801</t>
  </si>
  <si>
    <t>3800</t>
  </si>
  <si>
    <t>CHOPE GELB GOSE  - ESTOQUE TAP</t>
  </si>
  <si>
    <t>3444</t>
  </si>
  <si>
    <t>3875</t>
  </si>
  <si>
    <t>CHOPE GELB GOSE - 300ML</t>
  </si>
  <si>
    <t>3878</t>
  </si>
  <si>
    <t>CHOPE GO EXTRA MILE- SESSION IPA 300ML</t>
  </si>
  <si>
    <t>4991</t>
  </si>
  <si>
    <t>CHOPE GO THE EXTRA MILE -SESSION HAZY IPA -300ML</t>
  </si>
  <si>
    <t>4994</t>
  </si>
  <si>
    <t>4961</t>
  </si>
  <si>
    <t>4938</t>
  </si>
  <si>
    <t>CHOPE GOIABA COZMICA - 300ML</t>
  </si>
  <si>
    <t>929</t>
  </si>
  <si>
    <t>CHOPE GOIABA COZMICA - 400ML</t>
  </si>
  <si>
    <t>930</t>
  </si>
  <si>
    <t>CHOPE GOIABA COZMICA - ESTOQUE</t>
  </si>
  <si>
    <t>1318</t>
  </si>
  <si>
    <t>4212</t>
  </si>
  <si>
    <t>CHOPE GOING TO CALIFORNIA -300ML</t>
  </si>
  <si>
    <t>4215</t>
  </si>
  <si>
    <t>CHOPE GOING TO CALIFORNIA -400ML</t>
  </si>
  <si>
    <t>4214</t>
  </si>
  <si>
    <t>CHOPE GOLDEN FLAMINGO - ESTOQUE</t>
  </si>
  <si>
    <t>1148</t>
  </si>
  <si>
    <t>CHOPE GOLDEN FLAMINGO- 250ML</t>
  </si>
  <si>
    <t>3969</t>
  </si>
  <si>
    <t>CHOPE GOLDENER HIRSCH - 300ML</t>
  </si>
  <si>
    <t>6120</t>
  </si>
  <si>
    <t>CHOPE GOLDENER HIRSCH - 400ML</t>
  </si>
  <si>
    <t>6119</t>
  </si>
  <si>
    <t>6115</t>
  </si>
  <si>
    <t>CHOPE GRASSROOTS - ESTOQUE</t>
  </si>
  <si>
    <t>1217</t>
  </si>
  <si>
    <t>CHOPE GRASSROOTS 300ML</t>
  </si>
  <si>
    <t>950</t>
  </si>
  <si>
    <t>CHOPE GRASSROOTS 400ML</t>
  </si>
  <si>
    <t>951</t>
  </si>
  <si>
    <t>CHOPE GREEN LINE- ESTOQUE TAP</t>
  </si>
  <si>
    <t>4168</t>
  </si>
  <si>
    <t>CHOPE GUERRILHA HAZE - ESTQOUE</t>
  </si>
  <si>
    <t>925</t>
  </si>
  <si>
    <t>3879</t>
  </si>
  <si>
    <t>CHOPE HANKS PARADISE- 300ML</t>
  </si>
  <si>
    <t>4954</t>
  </si>
  <si>
    <t>CHOPE HANKS PARADISE- 400ML</t>
  </si>
  <si>
    <t>4953</t>
  </si>
  <si>
    <t>4937</t>
  </si>
  <si>
    <t>CHOPE HECTOR FIVE ROUNDS - ESTOQUE</t>
  </si>
  <si>
    <t>1294</t>
  </si>
  <si>
    <t>CHOPE HECTOR FIVE ROUNDS 300ML</t>
  </si>
  <si>
    <t>708</t>
  </si>
  <si>
    <t>CHOPE HECTOR FIVE ROUNDS 400ML</t>
  </si>
  <si>
    <t>706</t>
  </si>
  <si>
    <t>CHOPE HELL TO HEAVEN - ESTOQUE TAP</t>
  </si>
  <si>
    <t>6288</t>
  </si>
  <si>
    <t>CHOPE HELLE WEISSE - ESTOQUE - TAP</t>
  </si>
  <si>
    <t>3713</t>
  </si>
  <si>
    <t>3727</t>
  </si>
  <si>
    <t>3726</t>
  </si>
  <si>
    <t>CHOPE HERMES E RENATO - ESTOQUE</t>
  </si>
  <si>
    <t>1105</t>
  </si>
  <si>
    <t>CHOPE HERMES E RENATO - HOP LAGER 300ML</t>
  </si>
  <si>
    <t>751</t>
  </si>
  <si>
    <t>CHOPE HERMES E RENATO - HOP LAGER 400ML</t>
  </si>
  <si>
    <t>752</t>
  </si>
  <si>
    <t>CHOPE HESPANHA CAJUABA - 300ML</t>
  </si>
  <si>
    <t>6167</t>
  </si>
  <si>
    <t>CHOPE HESPANHA CAJUABA - 400ML</t>
  </si>
  <si>
    <t>6166</t>
  </si>
  <si>
    <t>CHOPE HESPANHA MANGA CASCAO - 300ML</t>
  </si>
  <si>
    <t>6770</t>
  </si>
  <si>
    <t>6769</t>
  </si>
  <si>
    <t>CHOPE HESPANHA MANGA CASCÃO - ESTOQUE TAP</t>
  </si>
  <si>
    <t>6666</t>
  </si>
  <si>
    <t>CHOPE HESPANHA ROTE GRUTZE SOUR - ESTOQUE TAP</t>
  </si>
  <si>
    <t>1326</t>
  </si>
  <si>
    <t>CHOPE HESPANHA ROTE GRUTZE SOUR 300ML</t>
  </si>
  <si>
    <t>1327</t>
  </si>
  <si>
    <t>CHOPE HESPANHA ROTE GRUTZE SOUR 400ML</t>
  </si>
  <si>
    <t>1328</t>
  </si>
  <si>
    <t>CHOPE HESPANHA RUBIN - 300ML</t>
  </si>
  <si>
    <t>6752</t>
  </si>
  <si>
    <t>6751</t>
  </si>
  <si>
    <t>2752</t>
  </si>
  <si>
    <t>CHOPE HEY HOP  - 400ML</t>
  </si>
  <si>
    <t>2754</t>
  </si>
  <si>
    <t>CHOPE HEY HOP  -300ML</t>
  </si>
  <si>
    <t>2753</t>
  </si>
  <si>
    <t>5161</t>
  </si>
  <si>
    <t>CHOPE HEY NEGRITA- 300ML</t>
  </si>
  <si>
    <t>5163</t>
  </si>
  <si>
    <t>CHOPE HOP PARADISE - ESTOQUE</t>
  </si>
  <si>
    <t>954</t>
  </si>
  <si>
    <t>CHOPE HOP PARADISE AMERICAN IPA 300ML</t>
  </si>
  <si>
    <t>829</t>
  </si>
  <si>
    <t>CHOPE HOP PARADISE AMERINCAN IPA  400ML</t>
  </si>
  <si>
    <t>1143</t>
  </si>
  <si>
    <t>3233</t>
  </si>
  <si>
    <t>CHOPE HOPN' ROAD 300ML -</t>
  </si>
  <si>
    <t>3234</t>
  </si>
  <si>
    <t>CHOPE HOPN' ROAD 400ML</t>
  </si>
  <si>
    <t>3235</t>
  </si>
  <si>
    <t>CHOPE HOPPED FOG NIPA  - ESTOQUE</t>
  </si>
  <si>
    <t>1153</t>
  </si>
  <si>
    <t>CHOPE HOPPED FOG NIPA 300ML</t>
  </si>
  <si>
    <t>1169</t>
  </si>
  <si>
    <t>CHOPE HOPPED FOG NIPA 400ML</t>
  </si>
  <si>
    <t>1171</t>
  </si>
  <si>
    <t>CHOPE HUMPKIN  - ESTOQUE TAP</t>
  </si>
  <si>
    <t>3672</t>
  </si>
  <si>
    <t>3673</t>
  </si>
  <si>
    <t>CHOPE HUMPKIN - 300ML</t>
  </si>
  <si>
    <t>3674</t>
  </si>
  <si>
    <t>1859</t>
  </si>
  <si>
    <t>CHOPE IGNORUS - GUERRILLA HAZY 300ML</t>
  </si>
  <si>
    <t>746</t>
  </si>
  <si>
    <t>CHOPE IGNORUS - GUERRILLA HAZY 400ML</t>
  </si>
  <si>
    <t>836</t>
  </si>
  <si>
    <t>CHOPE IGNORUS - LA BELLE DE JOUR - ESTOQUE</t>
  </si>
  <si>
    <t>4279</t>
  </si>
  <si>
    <t>4281</t>
  </si>
  <si>
    <t>4280</t>
  </si>
  <si>
    <t>CHOPE IGNORUS - SENSASOUR 300ML</t>
  </si>
  <si>
    <t>844</t>
  </si>
  <si>
    <t>CHOPE IGNORUS - SENSASOUR 400ML</t>
  </si>
  <si>
    <t>846</t>
  </si>
  <si>
    <t>3633</t>
  </si>
  <si>
    <t>CHOPE IGNORUS - TROPICAL THUNDER  300ML</t>
  </si>
  <si>
    <t>3949</t>
  </si>
  <si>
    <t>3948</t>
  </si>
  <si>
    <t>3947</t>
  </si>
  <si>
    <t>3596</t>
  </si>
  <si>
    <t>CHOPE IGNORUS - TRYNYTY  400ML</t>
  </si>
  <si>
    <t>3597</t>
  </si>
  <si>
    <t>CHOPE IGNORUS -TRYNYTY - ESTOQUE TAP</t>
  </si>
  <si>
    <t>3595</t>
  </si>
  <si>
    <t>1869</t>
  </si>
  <si>
    <t>CHOPE IGNORUS CANIS MARJORIS DOUBLE IPA 400ML</t>
  </si>
  <si>
    <t>1873</t>
  </si>
  <si>
    <t>CHOPE IGNORUS MADAME SATA 300ML</t>
  </si>
  <si>
    <t>1151</t>
  </si>
  <si>
    <t>CHOPE IGNORUS MADAME SATA 400ML</t>
  </si>
  <si>
    <t>5970</t>
  </si>
  <si>
    <t>CHOPE IGNORUS MALAMEM - ESTOQUE</t>
  </si>
  <si>
    <t>1152</t>
  </si>
  <si>
    <t>CHOPE IGNORUS MUTUM CAVALO AMERICAN IPA - ESTOQUE</t>
  </si>
  <si>
    <t>1277</t>
  </si>
  <si>
    <t>CHOPE IGNORUS MUTUM CAVALO AMERICAN IPA 300ML</t>
  </si>
  <si>
    <t>933</t>
  </si>
  <si>
    <t>CHOPE IGNORUS MUTUM CAVALO AMERICAN IPA 400ML</t>
  </si>
  <si>
    <t>934</t>
  </si>
  <si>
    <t>3634</t>
  </si>
  <si>
    <t>CHOPE IGNORUS TINHOSA SOUR  400ML</t>
  </si>
  <si>
    <t>3635</t>
  </si>
  <si>
    <t>CHOPE IGNORUS TUCANDERA - ESTOQUE TAP</t>
  </si>
  <si>
    <t>1156</t>
  </si>
  <si>
    <t>CHOPE IGNORUS TUCANDERA DOUBLE IPA 300ML</t>
  </si>
  <si>
    <t>762</t>
  </si>
  <si>
    <t>CHOPE IGNORUS TUCANDERA DOUBLE IPA 400ML</t>
  </si>
  <si>
    <t>763</t>
  </si>
  <si>
    <t>CHOPE IGUASSU MOONBOW - ESTOQUE TAP</t>
  </si>
  <si>
    <t>3102</t>
  </si>
  <si>
    <t>3126</t>
  </si>
  <si>
    <t>3103</t>
  </si>
  <si>
    <t>2494</t>
  </si>
  <si>
    <t>CHOPE IMPERIAL CATHARINA FRUTAS VERMELHAS 400ML</t>
  </si>
  <si>
    <t>2495</t>
  </si>
  <si>
    <t>981</t>
  </si>
  <si>
    <t>CHOPE IMPERIAL RED ALE - 300ML</t>
  </si>
  <si>
    <t>1861</t>
  </si>
  <si>
    <t>994</t>
  </si>
  <si>
    <t>CHOPE IMPERIAL SOUR NIAGRA 300ML</t>
  </si>
  <si>
    <t>1919</t>
  </si>
  <si>
    <t>CHOPE IMPERIAL SOUR NIAGRA 400ML</t>
  </si>
  <si>
    <t>1920</t>
  </si>
  <si>
    <t>2231</t>
  </si>
  <si>
    <t>2232</t>
  </si>
  <si>
    <t>2233</t>
  </si>
  <si>
    <t>CHOPE INSANNISTOCK - 300ML</t>
  </si>
  <si>
    <t>4955</t>
  </si>
  <si>
    <t>4948</t>
  </si>
  <si>
    <t>4939</t>
  </si>
  <si>
    <t>CHOPE INTERCEPTOR - 300ML</t>
  </si>
  <si>
    <t>3911</t>
  </si>
  <si>
    <t>3910</t>
  </si>
  <si>
    <t>3909</t>
  </si>
  <si>
    <t>2218</t>
  </si>
  <si>
    <t>2217</t>
  </si>
  <si>
    <t>2216</t>
  </si>
  <si>
    <t>4587</t>
  </si>
  <si>
    <t>4591</t>
  </si>
  <si>
    <t>4590</t>
  </si>
  <si>
    <t>6618</t>
  </si>
  <si>
    <t>6619</t>
  </si>
  <si>
    <t>CHOPE IRONICA AUSSIE - 300ML</t>
  </si>
  <si>
    <t>6192</t>
  </si>
  <si>
    <t>CHOPE IRONICA AUSSIE - 400ML</t>
  </si>
  <si>
    <t>6190</t>
  </si>
  <si>
    <t>6171</t>
  </si>
  <si>
    <t>CHOPE IRONICA AUTOCITRICA - 300ML</t>
  </si>
  <si>
    <t>6193</t>
  </si>
  <si>
    <t>CHOPE IRONICA AUTOCITRICA - 400ML</t>
  </si>
  <si>
    <t>6191</t>
  </si>
  <si>
    <t>CHOPE IRONICA AUTOCITRICA - ESTOQUE TAP</t>
  </si>
  <si>
    <t>6170</t>
  </si>
  <si>
    <t>6365</t>
  </si>
  <si>
    <t>4344</t>
  </si>
  <si>
    <t>CHOPE ISSIE -300ML</t>
  </si>
  <si>
    <t>4346</t>
  </si>
  <si>
    <t>4345</t>
  </si>
  <si>
    <t>CHOPE JEAN LE BLANC - 300ML</t>
  </si>
  <si>
    <t>709</t>
  </si>
  <si>
    <t>710</t>
  </si>
  <si>
    <t>6772</t>
  </si>
  <si>
    <t>6773</t>
  </si>
  <si>
    <t>CHOPE JOY - CREAM IPA 2.0 300ML</t>
  </si>
  <si>
    <t>2637</t>
  </si>
  <si>
    <t>CHOPE JOY - CREAM IPA 2.0 400ML</t>
  </si>
  <si>
    <t>2636</t>
  </si>
  <si>
    <t>2700</t>
  </si>
  <si>
    <t>CHOPE JOY - FREE HUGS 400ML</t>
  </si>
  <si>
    <t>2701</t>
  </si>
  <si>
    <t>4170</t>
  </si>
  <si>
    <t>CHOPE JOY - GREEN LINE - 400ML</t>
  </si>
  <si>
    <t>4169</t>
  </si>
  <si>
    <t>CHOPE JOY - LEARN TO FLY- 300ML</t>
  </si>
  <si>
    <t>4678</t>
  </si>
  <si>
    <t>4677</t>
  </si>
  <si>
    <t>1817</t>
  </si>
  <si>
    <t>1818</t>
  </si>
  <si>
    <t>3056</t>
  </si>
  <si>
    <t>3057</t>
  </si>
  <si>
    <t>CHOPE JOY - UNDER CALMNESS - 300ML</t>
  </si>
  <si>
    <t>2909</t>
  </si>
  <si>
    <t>CHOPE JOY - UNDER CALMNESS - 400ML</t>
  </si>
  <si>
    <t>849</t>
  </si>
  <si>
    <t>CHOPE JOY - UNDER CONFUSION 300ML</t>
  </si>
  <si>
    <t>847</t>
  </si>
  <si>
    <t>3860</t>
  </si>
  <si>
    <t>CHOPE JOY BRAIN BREEZE SOUR - 300ML</t>
  </si>
  <si>
    <t>5937</t>
  </si>
  <si>
    <t>5936</t>
  </si>
  <si>
    <t>5935</t>
  </si>
  <si>
    <t>CHOPE JOY COFFE BREACK - 300ML</t>
  </si>
  <si>
    <t>6629</t>
  </si>
  <si>
    <t>6628</t>
  </si>
  <si>
    <t>5309</t>
  </si>
  <si>
    <t>5330</t>
  </si>
  <si>
    <t>CHOPE JOY COFFEE ME UP NEIPA 400ML</t>
  </si>
  <si>
    <t>5331</t>
  </si>
  <si>
    <t>CHOPE JOY E FUMACONICA GOLDEN HASH WCIPA - ESTOQUE TAP</t>
  </si>
  <si>
    <t>891</t>
  </si>
  <si>
    <t>CHOPE JOY E FUMACONICA GOLDEN HASH WCIPA 300ML</t>
  </si>
  <si>
    <t>941</t>
  </si>
  <si>
    <t>CHOPE JOY E FUMACONICA GOLDEN HASH WCIPA 400ML</t>
  </si>
  <si>
    <t>942</t>
  </si>
  <si>
    <t>6763</t>
  </si>
  <si>
    <t>CHOPE JOY PROJECT THE CLOUD AURA - 300ML</t>
  </si>
  <si>
    <t>6124</t>
  </si>
  <si>
    <t>CHOPE JOY PROJECT THE CLOUD AURA - 400ML</t>
  </si>
  <si>
    <t>6123</t>
  </si>
  <si>
    <t>5232</t>
  </si>
  <si>
    <t>CHOPE JOY RIS BANOFFEE - RIS - 250ML</t>
  </si>
  <si>
    <t>5233</t>
  </si>
  <si>
    <t>CHOPE JOY SITUS AMARILLO DOUBLE IPA 300ML</t>
  </si>
  <si>
    <t>6205</t>
  </si>
  <si>
    <t>CHOPE JOY SITUS AMARILLO DOUBLE IPA 400ML</t>
  </si>
  <si>
    <t>6206</t>
  </si>
  <si>
    <t>5332</t>
  </si>
  <si>
    <t>5333</t>
  </si>
  <si>
    <t>CHOPE JOY SITUS SIMCOE DOUBLE IPA 400ML</t>
  </si>
  <si>
    <t>5334</t>
  </si>
  <si>
    <t>CHOPE JOY WORKING CLASS HERO - DARK MILD  - 300ML</t>
  </si>
  <si>
    <t>5237</t>
  </si>
  <si>
    <t>5236</t>
  </si>
  <si>
    <t>5235</t>
  </si>
  <si>
    <t>CHOPE JOY YOU MUST BE HIGH - 300ML</t>
  </si>
  <si>
    <t>6698</t>
  </si>
  <si>
    <t>6697</t>
  </si>
  <si>
    <t>CHOPE JUICED - 300ML</t>
  </si>
  <si>
    <t>3952</t>
  </si>
  <si>
    <t>3951</t>
  </si>
  <si>
    <t>CHOPE JUICY JILL - ESTOQUE</t>
  </si>
  <si>
    <t>1297</t>
  </si>
  <si>
    <t>CHOPE JUICY JILL 300ML</t>
  </si>
  <si>
    <t>707</t>
  </si>
  <si>
    <t>CHOPE JUICY JILL 400ML</t>
  </si>
  <si>
    <t>713</t>
  </si>
  <si>
    <t>CHOPE JUNGLE BREEZE- 300ML</t>
  </si>
  <si>
    <t>4407</t>
  </si>
  <si>
    <t>4406</t>
  </si>
  <si>
    <t>4405</t>
  </si>
  <si>
    <t>CHOPE KAIOWAS - ESTOQUE TAP</t>
  </si>
  <si>
    <t>4775</t>
  </si>
  <si>
    <t>4777</t>
  </si>
  <si>
    <t>4776</t>
  </si>
  <si>
    <t>5968</t>
  </si>
  <si>
    <t>5967</t>
  </si>
  <si>
    <t>5969</t>
  </si>
  <si>
    <t>CHOPE KHARMA 300ML</t>
  </si>
  <si>
    <t>937</t>
  </si>
  <si>
    <t>CHOPE KHARMA IPA 400ML</t>
  </si>
  <si>
    <t>938</t>
  </si>
  <si>
    <t>CHOPE KING OCTOPUS - ESTOQUE</t>
  </si>
  <si>
    <t>1317</t>
  </si>
  <si>
    <t>CHOPE KINKAN - ESTOQUE</t>
  </si>
  <si>
    <t>865</t>
  </si>
  <si>
    <t>CHOPE KINKAN - SESSION IPA 300ML</t>
  </si>
  <si>
    <t>755</t>
  </si>
  <si>
    <t>CHOPE KINKAN SESSION IPA 400ML</t>
  </si>
  <si>
    <t>757</t>
  </si>
  <si>
    <t>4302</t>
  </si>
  <si>
    <t>CHOPE KOKOT IPA- 300ML</t>
  </si>
  <si>
    <t>4304</t>
  </si>
  <si>
    <t>4303</t>
  </si>
  <si>
    <t>CHOPE KOKOT TURVINHA - 300ML</t>
  </si>
  <si>
    <t>6236</t>
  </si>
  <si>
    <t>CHOPE KOKOT TURVINHA - 400ML</t>
  </si>
  <si>
    <t>6235</t>
  </si>
  <si>
    <t>CHOPE KUGLER HELL TO HEAVEN - 300ML</t>
  </si>
  <si>
    <t>6234</t>
  </si>
  <si>
    <t>CHOPE KUGLER HELL TO HEAVEN - 400ML</t>
  </si>
  <si>
    <t>6233</t>
  </si>
  <si>
    <t>CHOPE KUNK IPA - ESTOQUE</t>
  </si>
  <si>
    <t>1321</t>
  </si>
  <si>
    <t>CHOPE KUNK IPA 300ML</t>
  </si>
  <si>
    <t>768</t>
  </si>
  <si>
    <t>CHOPE KUNK IPA 400ML</t>
  </si>
  <si>
    <t>767</t>
  </si>
  <si>
    <t>CHOPE LAGER  - AMERICAN LIGHT 300ML</t>
  </si>
  <si>
    <t>2140</t>
  </si>
  <si>
    <t>CHOPE LAGER  - ESTOQUE</t>
  </si>
  <si>
    <t>1377</t>
  </si>
  <si>
    <t>2145</t>
  </si>
  <si>
    <t>2277</t>
  </si>
  <si>
    <t>2276</t>
  </si>
  <si>
    <t>2275</t>
  </si>
  <si>
    <t>CHOPE LEARN TO FLY - ESTOQUE TAP</t>
  </si>
  <si>
    <t>4676</t>
  </si>
  <si>
    <t>4942</t>
  </si>
  <si>
    <t>CHOPE LENNON IN THE SKY WITH -300ML</t>
  </si>
  <si>
    <t>4958</t>
  </si>
  <si>
    <t>4951</t>
  </si>
  <si>
    <t>CHOPE LOBOS BETTER CALL - ESTOQUE TAP</t>
  </si>
  <si>
    <t>4463</t>
  </si>
  <si>
    <t>4462</t>
  </si>
  <si>
    <t>CHOPE LOBOS RED ALE - 300ML</t>
  </si>
  <si>
    <t>6636</t>
  </si>
  <si>
    <t>6635</t>
  </si>
  <si>
    <t>CHOPE LOBOS SCOTCH ALE - 300ML</t>
  </si>
  <si>
    <t>6638</t>
  </si>
  <si>
    <t>6637</t>
  </si>
  <si>
    <t>6634</t>
  </si>
  <si>
    <t>4464</t>
  </si>
  <si>
    <t>733</t>
  </si>
  <si>
    <t>734</t>
  </si>
  <si>
    <t>CHOPE LUCIDITY - ESTOQUE</t>
  </si>
  <si>
    <t>86</t>
  </si>
  <si>
    <t>CHOPE LUCIDITY - IMPERIAL PORTER 300ML</t>
  </si>
  <si>
    <t>780</t>
  </si>
  <si>
    <t>CHOPE LUCIDITY - IMPERIAL PORTER 400ML</t>
  </si>
  <si>
    <t>781</t>
  </si>
  <si>
    <t>2830</t>
  </si>
  <si>
    <t>2831</t>
  </si>
  <si>
    <t>2829</t>
  </si>
  <si>
    <t>4150</t>
  </si>
  <si>
    <t>CHOPE MAD JACK - HAZY IPA 300ML</t>
  </si>
  <si>
    <t>4152</t>
  </si>
  <si>
    <t>4151</t>
  </si>
  <si>
    <t>CHOPE MADAME SATA TRIPLE IPA - ESTOQUE</t>
  </si>
  <si>
    <t>1268</t>
  </si>
  <si>
    <t>CHOPE MALAMÉM 300ML</t>
  </si>
  <si>
    <t>853</t>
  </si>
  <si>
    <t>CHOPE MALAMÉM 400ML</t>
  </si>
  <si>
    <t>855</t>
  </si>
  <si>
    <t>CHOPE MALIGNA - 300ML</t>
  </si>
  <si>
    <t>4474</t>
  </si>
  <si>
    <t>4473</t>
  </si>
  <si>
    <t>6075</t>
  </si>
  <si>
    <t>6074</t>
  </si>
  <si>
    <t>6073</t>
  </si>
  <si>
    <t>CHOPE MANGO SOUR DREAM - ESTOQUE</t>
  </si>
  <si>
    <t>1598</t>
  </si>
  <si>
    <t>CHOPE MANGO SOUR DREAM 300ML</t>
  </si>
  <si>
    <t>1599</t>
  </si>
  <si>
    <t>CHOPE MANGO SOUR DREAM 400ML</t>
  </si>
  <si>
    <t>1601</t>
  </si>
  <si>
    <t>CHOPE MANGOED SMOOTHIE NE IPA - ESTOQUE</t>
  </si>
  <si>
    <t>1322</t>
  </si>
  <si>
    <t>CHOPE MANIACS BROOKLYN EAST IPA - 300ML</t>
  </si>
  <si>
    <t>6373</t>
  </si>
  <si>
    <t>6372</t>
  </si>
  <si>
    <t>6375</t>
  </si>
  <si>
    <t>CHOPE MANIACS DOUBLE IPA - 400ML</t>
  </si>
  <si>
    <t>6374</t>
  </si>
  <si>
    <t>4569</t>
  </si>
  <si>
    <t>4568</t>
  </si>
  <si>
    <t>4567</t>
  </si>
  <si>
    <t>4476</t>
  </si>
  <si>
    <t>4475</t>
  </si>
  <si>
    <t>CHOPE MARK THE PÁSCOA ESTOQUE TAP</t>
  </si>
  <si>
    <t>4635</t>
  </si>
  <si>
    <t>CHOPE MARK THE SHADOW - 300ML</t>
  </si>
  <si>
    <t>719</t>
  </si>
  <si>
    <t>721</t>
  </si>
  <si>
    <t>CHOPE MARK THE SHADOW - ESTOQUE</t>
  </si>
  <si>
    <t>1333</t>
  </si>
  <si>
    <t>CHOPE MARZEN   - ESTOQUE TAP</t>
  </si>
  <si>
    <t>3678</t>
  </si>
  <si>
    <t>3679</t>
  </si>
  <si>
    <t>CHOPE MARZEN 400ML</t>
  </si>
  <si>
    <t>3680</t>
  </si>
  <si>
    <t>CHOPE MASMORRA - BLACK MALIGNA - BLACK IPA - 300ML</t>
  </si>
  <si>
    <t>5200</t>
  </si>
  <si>
    <t>CHOPE MASMORRA - BLACK MALIGNA - BLACK IPA - 400ML</t>
  </si>
  <si>
    <t>5227</t>
  </si>
  <si>
    <t>CHOPE MASMORRA CERVEJA DO DJANHO TRIPEL - 250ML</t>
  </si>
  <si>
    <t>5636</t>
  </si>
  <si>
    <t>5635</t>
  </si>
  <si>
    <t>4438</t>
  </si>
  <si>
    <t>4248</t>
  </si>
  <si>
    <t>CHOPE MASMORRA ROYALTY COFFEE SOUR - 300ML</t>
  </si>
  <si>
    <t>5339</t>
  </si>
  <si>
    <t>5338</t>
  </si>
  <si>
    <t>5337</t>
  </si>
  <si>
    <t>2693</t>
  </si>
  <si>
    <t>CHOPE MAX MALLOW - 300ML</t>
  </si>
  <si>
    <t>2695</t>
  </si>
  <si>
    <t>2694</t>
  </si>
  <si>
    <t>CHOPE MAXIMA - DOUBLE IPA 300ML</t>
  </si>
  <si>
    <t>758</t>
  </si>
  <si>
    <t>CHOPE MAXIMA - DOUBLE IPA 400ML</t>
  </si>
  <si>
    <t>749</t>
  </si>
  <si>
    <t>6118</t>
  </si>
  <si>
    <t>CHOPE MIRTILO SOUR - 300ML</t>
  </si>
  <si>
    <t>4482</t>
  </si>
  <si>
    <t>4481</t>
  </si>
  <si>
    <t>CHOPE MOLOSSO COLAB LA CAMINERA - 300ML</t>
  </si>
  <si>
    <t>1232</t>
  </si>
  <si>
    <t>CHOPE MOLOSSO COLAB LA CAMINERA - 400ML</t>
  </si>
  <si>
    <t>1239</t>
  </si>
  <si>
    <t>CHOPE MOLOSSO COLAB LA CAMINERA - ESTOQUE</t>
  </si>
  <si>
    <t>1227</t>
  </si>
  <si>
    <t>4943</t>
  </si>
  <si>
    <t>4959</t>
  </si>
  <si>
    <t>CHOPE MONKEYSHINE - 400ML</t>
  </si>
  <si>
    <t>4952</t>
  </si>
  <si>
    <t>CHOPE MOON CLOCKS - DOUBLE NEW ENGLAND 300ML</t>
  </si>
  <si>
    <t>4133</t>
  </si>
  <si>
    <t>4132</t>
  </si>
  <si>
    <t>4131</t>
  </si>
  <si>
    <t>3954</t>
  </si>
  <si>
    <t>3955</t>
  </si>
  <si>
    <t>2709</t>
  </si>
  <si>
    <t>2710</t>
  </si>
  <si>
    <t>CHOPE MOON WVEZ - 400ML</t>
  </si>
  <si>
    <t>2711</t>
  </si>
  <si>
    <t>CHOPE MOONDRI  DISCOVERY - 300ML</t>
  </si>
  <si>
    <t>5174</t>
  </si>
  <si>
    <t>5173</t>
  </si>
  <si>
    <t>4227</t>
  </si>
  <si>
    <t>CHOPE MOONDRI - A LITTLE HELP - NEIPA - 300ML</t>
  </si>
  <si>
    <t>5181</t>
  </si>
  <si>
    <t>5180</t>
  </si>
  <si>
    <t>CHOPE MOONDRI A LITTLE HELP NEIPA - ESTOQUE TAP</t>
  </si>
  <si>
    <t>5179</t>
  </si>
  <si>
    <t>3950</t>
  </si>
  <si>
    <t>4224</t>
  </si>
  <si>
    <t>CHOPE MOONDRI MOON BALANCE SESSION NEIPA 300ML</t>
  </si>
  <si>
    <t>4226</t>
  </si>
  <si>
    <t>4225</t>
  </si>
  <si>
    <t>3953</t>
  </si>
  <si>
    <t>CHOPE MOONDRI NIGTH CREATURES 3 RIS COM CAFE - 250ML</t>
  </si>
  <si>
    <t>5285</t>
  </si>
  <si>
    <t>5284</t>
  </si>
  <si>
    <t>6564</t>
  </si>
  <si>
    <t>CHOPE MOONDRI SHINE AMERICAN IPA - 300ML</t>
  </si>
  <si>
    <t>5645</t>
  </si>
  <si>
    <t>5644</t>
  </si>
  <si>
    <t>5643</t>
  </si>
  <si>
    <t>5409</t>
  </si>
  <si>
    <t>5410</t>
  </si>
  <si>
    <t>5408</t>
  </si>
  <si>
    <t>CHOPE MORADA MAGOSSAURUS - ESTOQUE TAP</t>
  </si>
  <si>
    <t>4673</t>
  </si>
  <si>
    <t>CHOPE MORADA MANGOSSAURUS - 300ML</t>
  </si>
  <si>
    <t>4675</t>
  </si>
  <si>
    <t>CHOPE MORADA MANGOSSAURUS - 400ML</t>
  </si>
  <si>
    <t>4674</t>
  </si>
  <si>
    <t>CHOPE MORE HOP IPA - ESTOQUE TAP</t>
  </si>
  <si>
    <t>4377</t>
  </si>
  <si>
    <t>4379</t>
  </si>
  <si>
    <t>4378</t>
  </si>
  <si>
    <t>CHOPE MOSAIC IPA 300ML</t>
  </si>
  <si>
    <t>939</t>
  </si>
  <si>
    <t>CHOPE MOSAIC IPA 400ML</t>
  </si>
  <si>
    <t>940</t>
  </si>
  <si>
    <t>CHOPE MUNICH HELLES 300ML</t>
  </si>
  <si>
    <t>756</t>
  </si>
  <si>
    <t>CHOPE MUNICH HELLES 400ML</t>
  </si>
  <si>
    <t>750</t>
  </si>
  <si>
    <t>CHOPE MURICOCA INTERGALACTIC - 300ML</t>
  </si>
  <si>
    <t>3407</t>
  </si>
  <si>
    <t>CHOPE MURICOCA INTERGALACTIC - 400ML</t>
  </si>
  <si>
    <t>3406</t>
  </si>
  <si>
    <t>6213</t>
  </si>
  <si>
    <t>6150</t>
  </si>
  <si>
    <t>CHOPE NEW SENSATION- 300ML</t>
  </si>
  <si>
    <t>4956</t>
  </si>
  <si>
    <t>4949</t>
  </si>
  <si>
    <t>4940</t>
  </si>
  <si>
    <t>1119</t>
  </si>
  <si>
    <t>1704</t>
  </si>
  <si>
    <t>CHOPE NIGTH CREATURES #1 - ESTOQUE TAP</t>
  </si>
  <si>
    <t>3295</t>
  </si>
  <si>
    <t>CHOPE NIGTH CREATURES #1- 250ML</t>
  </si>
  <si>
    <t>3296</t>
  </si>
  <si>
    <t>5637</t>
  </si>
  <si>
    <t>CHOPE NUT BIER BLACK SHITAK DRY STOUT - 300ML</t>
  </si>
  <si>
    <t>5639</t>
  </si>
  <si>
    <t>5638</t>
  </si>
  <si>
    <t>6081</t>
  </si>
  <si>
    <t>6083</t>
  </si>
  <si>
    <t>CHOPE NUT BIER CALLISTA- 400ML</t>
  </si>
  <si>
    <t>6082</t>
  </si>
  <si>
    <t>6700</t>
  </si>
  <si>
    <t>CHOPE NUT BIER IRADA DOUBLE IPA - 300ML</t>
  </si>
  <si>
    <t>6750</t>
  </si>
  <si>
    <t>CHOPE NUT BIER IRADA DOUBLE IPA -400ML</t>
  </si>
  <si>
    <t>6749</t>
  </si>
  <si>
    <t>2679</t>
  </si>
  <si>
    <t>2680</t>
  </si>
  <si>
    <t>2681</t>
  </si>
  <si>
    <t>1028</t>
  </si>
  <si>
    <t>CHOPE OI BEER THOR BELGIAN IPA  300ML</t>
  </si>
  <si>
    <t>4311</t>
  </si>
  <si>
    <t>4310</t>
  </si>
  <si>
    <t>CHOPE OI BEER THOR BELGIAN IPA - ESTOQUE TAP</t>
  </si>
  <si>
    <t>4308</t>
  </si>
  <si>
    <t>CHOPE OL BEER DO CAMPO AO COPO - 400ML</t>
  </si>
  <si>
    <t>6239</t>
  </si>
  <si>
    <t>6566</t>
  </si>
  <si>
    <t>6621</t>
  </si>
  <si>
    <t>6620</t>
  </si>
  <si>
    <t>CHOPE OL BEER SALINAS GOSE - 300ML</t>
  </si>
  <si>
    <t>5873</t>
  </si>
  <si>
    <t>5872</t>
  </si>
  <si>
    <t>5871</t>
  </si>
  <si>
    <t>6284</t>
  </si>
  <si>
    <t>CHOPE OLD BUT GOLD - 250ML</t>
  </si>
  <si>
    <t>3271</t>
  </si>
  <si>
    <t>3270</t>
  </si>
  <si>
    <t>CHOPE OLD CAR CHRISTINE PUMPK IN - 300ML</t>
  </si>
  <si>
    <t>5862</t>
  </si>
  <si>
    <t>5861</t>
  </si>
  <si>
    <t>CHOPE OLD CAR CHRISTINE PUMPK IN - ESTOQUE TAP</t>
  </si>
  <si>
    <t>5860</t>
  </si>
  <si>
    <t>CHOPE OLD CAR ELEANOR - 300ML</t>
  </si>
  <si>
    <t>6232</t>
  </si>
  <si>
    <t>CHOPE OLD CAR ELEANOR - 400ML</t>
  </si>
  <si>
    <t>6231</t>
  </si>
  <si>
    <t>6264</t>
  </si>
  <si>
    <t>5323</t>
  </si>
  <si>
    <t>CHOPE OLD CAR HOPSTER DOUBLE IPA 300ML</t>
  </si>
  <si>
    <t>1202</t>
  </si>
  <si>
    <t>5324</t>
  </si>
  <si>
    <t>5944</t>
  </si>
  <si>
    <t>5945</t>
  </si>
  <si>
    <t>CHOPE OLD CAR RED DART RED ALE 400ML</t>
  </si>
  <si>
    <t>5946</t>
  </si>
  <si>
    <t>CHOPE OLD CAR RISCANIA - 250ML</t>
  </si>
  <si>
    <t>2535</t>
  </si>
  <si>
    <t>CHOPE OLD CAR RISCANIA - ESTOQUE TAP</t>
  </si>
  <si>
    <t>2534</t>
  </si>
  <si>
    <t>CHOPE OLD DELOREAN - 300ML</t>
  </si>
  <si>
    <t>4271</t>
  </si>
  <si>
    <t>CHOPE OLD DELOREAN - 400ML</t>
  </si>
  <si>
    <t>4270</t>
  </si>
  <si>
    <t>CHOPE OLHA PRA LUA- NEAPA - 300ML</t>
  </si>
  <si>
    <t>6579</t>
  </si>
  <si>
    <t>CHOPE OLHA PRA LUA- NEAPA - 400ML</t>
  </si>
  <si>
    <t>6578</t>
  </si>
  <si>
    <t>4826</t>
  </si>
  <si>
    <t>4825</t>
  </si>
  <si>
    <t>4824</t>
  </si>
  <si>
    <t>CHOPE ORANGE  MOON - NEW ENGLAND 300ML</t>
  </si>
  <si>
    <t>3692</t>
  </si>
  <si>
    <t>3691</t>
  </si>
  <si>
    <t>3690</t>
  </si>
  <si>
    <t>CHOPE OUTMAEL STOUTRIX 300ML</t>
  </si>
  <si>
    <t>834</t>
  </si>
  <si>
    <t>CHOPE OUTMAEL STOUTRIX 400ML</t>
  </si>
  <si>
    <t>832</t>
  </si>
  <si>
    <t>CHOPE OVER THE MOON - BALTIC PORTER 300ML</t>
  </si>
  <si>
    <t>192</t>
  </si>
  <si>
    <t>CHOPE OVER THE MOON - BALTIC PORTER 400ML</t>
  </si>
  <si>
    <t>194</t>
  </si>
  <si>
    <t>CHOPE OVER THE MOON - ESTOQUE</t>
  </si>
  <si>
    <t>1099</t>
  </si>
  <si>
    <t>CHOPE OVERJOY #2 - ESTOQUE TAP</t>
  </si>
  <si>
    <t>3488</t>
  </si>
  <si>
    <t>2913</t>
  </si>
  <si>
    <t>3489</t>
  </si>
  <si>
    <t>3490</t>
  </si>
  <si>
    <t>CHOPE OVERJOY- 300ML</t>
  </si>
  <si>
    <t>2915</t>
  </si>
  <si>
    <t>CHOPE OVERJOY- 400ML</t>
  </si>
  <si>
    <t>2914</t>
  </si>
  <si>
    <t>4213</t>
  </si>
  <si>
    <t>CHOPE OVERKILL-300ML</t>
  </si>
  <si>
    <t>4217</t>
  </si>
  <si>
    <t>4216</t>
  </si>
  <si>
    <t>5075</t>
  </si>
  <si>
    <t>CHOPE PELE VERMELHA - ESTOQUE</t>
  </si>
  <si>
    <t>1337</t>
  </si>
  <si>
    <t>CHOPE PEROLA NEGRA - ESTOQUE</t>
  </si>
  <si>
    <t>2892</t>
  </si>
  <si>
    <t>2893</t>
  </si>
  <si>
    <t>4250</t>
  </si>
  <si>
    <t>4249</t>
  </si>
  <si>
    <t>CHOPE PINA A VIVA - 300ML</t>
  </si>
  <si>
    <t>722</t>
  </si>
  <si>
    <t>CHOPE PINA A VIVA - 400ML</t>
  </si>
  <si>
    <t>723</t>
  </si>
  <si>
    <t>CHOPE PINA VIVA - ESTOQUE</t>
  </si>
  <si>
    <t>1298</t>
  </si>
  <si>
    <t>CHOPE PIRATA QUEEN - 300ML</t>
  </si>
  <si>
    <t>3756</t>
  </si>
  <si>
    <t>3755</t>
  </si>
  <si>
    <t>3754</t>
  </si>
  <si>
    <t>CHOPE PIRATA STOUT IMPERIAL DOUBLE IPA   - ESTOQUE</t>
  </si>
  <si>
    <t>3902</t>
  </si>
  <si>
    <t>CHOPE PIRATA STOUT-  300ML</t>
  </si>
  <si>
    <t>3904</t>
  </si>
  <si>
    <t>3903</t>
  </si>
  <si>
    <t>CHOPE PIUM GALAXY- 300ML</t>
  </si>
  <si>
    <t>3405</t>
  </si>
  <si>
    <t>3404</t>
  </si>
  <si>
    <t>1133</t>
  </si>
  <si>
    <t>2205</t>
  </si>
  <si>
    <t>CHOPE PRO HOP FORTUNA -400ML</t>
  </si>
  <si>
    <t>2206</t>
  </si>
  <si>
    <t>CHOPE RED MOON (IRISH RED ALE) 300ML</t>
  </si>
  <si>
    <t>738</t>
  </si>
  <si>
    <t>CHOPE RED MOON (IRISH RED ALE) 400ML</t>
  </si>
  <si>
    <t>739</t>
  </si>
  <si>
    <t>CHOPE RED MOON - ESTOQUE</t>
  </si>
  <si>
    <t>1196</t>
  </si>
  <si>
    <t>3763</t>
  </si>
  <si>
    <t>3762</t>
  </si>
  <si>
    <t>3761</t>
  </si>
  <si>
    <t>CHOPE RED WINDOW IPA - ESTOQUE</t>
  </si>
  <si>
    <t>892</t>
  </si>
  <si>
    <t>CHOPE RED WINDOW RED IPA 300ML</t>
  </si>
  <si>
    <t>839</t>
  </si>
  <si>
    <t>CHOPE RED WINDOW RED IPA 400ML</t>
  </si>
  <si>
    <t>840</t>
  </si>
  <si>
    <t>CHOPE REPTILIANA -300ML</t>
  </si>
  <si>
    <t>4307</t>
  </si>
  <si>
    <t>CHOPE REPTILIANA -400ML</t>
  </si>
  <si>
    <t>4306</t>
  </si>
  <si>
    <t>4305</t>
  </si>
  <si>
    <t>CHOPE RISK OFF- 300ML</t>
  </si>
  <si>
    <t>4957</t>
  </si>
  <si>
    <t>4941</t>
  </si>
  <si>
    <t>4950</t>
  </si>
  <si>
    <t>6495</t>
  </si>
  <si>
    <t>6496</t>
  </si>
  <si>
    <t>4944</t>
  </si>
  <si>
    <t>CHOPE ROGGENFELD - 400ML</t>
  </si>
  <si>
    <t>4947</t>
  </si>
  <si>
    <t>4960</t>
  </si>
  <si>
    <t>1065</t>
  </si>
  <si>
    <t>CHOPE ROTHIRSCH - VIENNA LAGER 400ML</t>
  </si>
  <si>
    <t>6071</t>
  </si>
  <si>
    <t>6070</t>
  </si>
  <si>
    <t>CHOPE ROTHIRSCH -VIENNA LAGER-300ML</t>
  </si>
  <si>
    <t>6072</t>
  </si>
  <si>
    <t>CHOPE SCHERKLALALA - 300ML</t>
  </si>
  <si>
    <t>3518</t>
  </si>
  <si>
    <t>3387</t>
  </si>
  <si>
    <t>CHOPE SENSASOUR - ESTOQUE</t>
  </si>
  <si>
    <t>1154</t>
  </si>
  <si>
    <t>4990</t>
  </si>
  <si>
    <t>4381</t>
  </si>
  <si>
    <t>2207</t>
  </si>
  <si>
    <t>2209</t>
  </si>
  <si>
    <t>CHOPE SITUS AMARILLO ED - ESTOQUE TAP</t>
  </si>
  <si>
    <t>6220</t>
  </si>
  <si>
    <t>2372</t>
  </si>
  <si>
    <t>2373</t>
  </si>
  <si>
    <t>1145</t>
  </si>
  <si>
    <t>2215</t>
  </si>
  <si>
    <t>2214</t>
  </si>
  <si>
    <t>2213</t>
  </si>
  <si>
    <t>CHOPE SOUR BERRY MOON -300ML</t>
  </si>
  <si>
    <t>3807</t>
  </si>
  <si>
    <t>CHOPE SOUR BERRY MOON -400ML</t>
  </si>
  <si>
    <t>3806</t>
  </si>
  <si>
    <t>3805</t>
  </si>
  <si>
    <t>1816</t>
  </si>
  <si>
    <t>CHOPE SUMMER ALE - ESTOQUE TAP</t>
  </si>
  <si>
    <t>4314</t>
  </si>
  <si>
    <t>CHOPE SUNNA SESSION IPA - 300ML</t>
  </si>
  <si>
    <t>6410</t>
  </si>
  <si>
    <t>CHOPE SUNNA SESSION IPA - 400ML</t>
  </si>
  <si>
    <t>6409</t>
  </si>
  <si>
    <t>4879</t>
  </si>
  <si>
    <t>4880</t>
  </si>
  <si>
    <t>4878</t>
  </si>
  <si>
    <t>CHOPE SUPER KUNK IPA (IMPERIAL DOUBLE IPA) 300ML</t>
  </si>
  <si>
    <t>735</t>
  </si>
  <si>
    <t>CHOPE SUPER KUNK IPA (IMPERIAL DOUBLE IPA) 400ML</t>
  </si>
  <si>
    <t>736</t>
  </si>
  <si>
    <t>CHOPE SUPER KUNK IPA - ESTOQUE</t>
  </si>
  <si>
    <t>1139</t>
  </si>
  <si>
    <t>CHOPE SUPERNAUT - 300ML</t>
  </si>
  <si>
    <t>4386</t>
  </si>
  <si>
    <t>4385</t>
  </si>
  <si>
    <t>CHOPE SUPERNAUT- ESTOQUE TAP</t>
  </si>
  <si>
    <t>4384</t>
  </si>
  <si>
    <t>CHOPE SWAMP - BOQUERA STYLE - ESTOQUE</t>
  </si>
  <si>
    <t>4586</t>
  </si>
  <si>
    <t>CHOPE SWAMP - DOUBLE BITE IPA - ESTOQUE</t>
  </si>
  <si>
    <t>1214</t>
  </si>
  <si>
    <t>CHOPE SWAMP - DOUBLE BITE IPA 300ML</t>
  </si>
  <si>
    <t>935</t>
  </si>
  <si>
    <t>CHOPE SWAMP - DOUBLE BITE IPA 400ML</t>
  </si>
  <si>
    <t>936</t>
  </si>
  <si>
    <t>4176</t>
  </si>
  <si>
    <t>4589</t>
  </si>
  <si>
    <t>4588</t>
  </si>
  <si>
    <t>CHOPE SWAMP BREJO IPA - 300ML</t>
  </si>
  <si>
    <t>5596</t>
  </si>
  <si>
    <t>CHOPE SWAMP BREJO IPA - 400ML</t>
  </si>
  <si>
    <t>5597</t>
  </si>
  <si>
    <t>CHOPE SWAMP BREJO IPA - ESTOQUE TAP</t>
  </si>
  <si>
    <t>5595</t>
  </si>
  <si>
    <t>CHOPE SWAMP HOPBITE AMERICAN IPA  400ML</t>
  </si>
  <si>
    <t>741</t>
  </si>
  <si>
    <t>CHOPE SWAMP HOPBITE AMERICAN IPA 300ML</t>
  </si>
  <si>
    <t>740</t>
  </si>
  <si>
    <t>CHOPE SWAMP HOPBITE IPA - ESTOQUE TAP</t>
  </si>
  <si>
    <t>1262</t>
  </si>
  <si>
    <t>CHOPE SWAMP MANGROOVE  - ESTOQUE TAP</t>
  </si>
  <si>
    <t>4017</t>
  </si>
  <si>
    <t>4019</t>
  </si>
  <si>
    <t>CHOPE SWAMP MANGROOVE- 400ML</t>
  </si>
  <si>
    <t>4018</t>
  </si>
  <si>
    <t>CHOPE SWAMP MARUI STARWAY - 300 ML</t>
  </si>
  <si>
    <t>2744</t>
  </si>
  <si>
    <t>3232</t>
  </si>
  <si>
    <t>CHOPE SWAMP PILSEN - ESTOQUE</t>
  </si>
  <si>
    <t>924</t>
  </si>
  <si>
    <t>CHOPE SWAMP PILSEN 300ML</t>
  </si>
  <si>
    <t>887</t>
  </si>
  <si>
    <t>CHOPE SWAMP PILSEN 400ML</t>
  </si>
  <si>
    <t>888</t>
  </si>
  <si>
    <t>CHOPE SWAMP SUMMER SESSION IPA - 300ML</t>
  </si>
  <si>
    <t>4383</t>
  </si>
  <si>
    <t>CHOPE SWAMP SUMMER SESSION IPA - 400ML</t>
  </si>
  <si>
    <t>4382</t>
  </si>
  <si>
    <t>4380</t>
  </si>
  <si>
    <t>6446</t>
  </si>
  <si>
    <t>6445</t>
  </si>
  <si>
    <t>6444</t>
  </si>
  <si>
    <t>2219</t>
  </si>
  <si>
    <t>2220</t>
  </si>
  <si>
    <t>2221</t>
  </si>
  <si>
    <t>CHOPE TERRACO MIMOSA MECANICA IPA - ESTOQUE</t>
  </si>
  <si>
    <t>1302</t>
  </si>
  <si>
    <t>CHOPE TERRACO STOUTRIX - ESTOQUE</t>
  </si>
  <si>
    <t>1304</t>
  </si>
  <si>
    <t>CHOPE TERRAÇO - MIMOSA 300ML</t>
  </si>
  <si>
    <t>769</t>
  </si>
  <si>
    <t>CHOPE TERRAÇO - MIMOSA 400ML</t>
  </si>
  <si>
    <t>770</t>
  </si>
  <si>
    <t>2297</t>
  </si>
  <si>
    <t>CHOPE TERRAÇO HIPERTIMESIA - 400ML</t>
  </si>
  <si>
    <t>2298</t>
  </si>
  <si>
    <t>2296</t>
  </si>
  <si>
    <t>CHOPE TESTE TREINAMENTO</t>
  </si>
  <si>
    <t>704</t>
  </si>
  <si>
    <t>6116</t>
  </si>
  <si>
    <t>CHOPE THE NEW KIDDO- 300ML</t>
  </si>
  <si>
    <t>4946</t>
  </si>
  <si>
    <t>CHOPE THE NEW KIDDO- 400ML</t>
  </si>
  <si>
    <t>4945</t>
  </si>
  <si>
    <t>4936</t>
  </si>
  <si>
    <t>CHOPE TINTA FRESCA - 300ML</t>
  </si>
  <si>
    <t>783</t>
  </si>
  <si>
    <t>782</t>
  </si>
  <si>
    <t>CHOPE TORANJITO - 300ML</t>
  </si>
  <si>
    <t>4611</t>
  </si>
  <si>
    <t>4610</t>
  </si>
  <si>
    <t>CHOPE TROPICALIZA NEIPA - ESTOQUE</t>
  </si>
  <si>
    <t>952</t>
  </si>
  <si>
    <t>CHOPE TROPICALIZA NEIPA 300ML</t>
  </si>
  <si>
    <t>759</t>
  </si>
  <si>
    <t>CHOPE TROPICALIZA NEIPA 400ML</t>
  </si>
  <si>
    <t>760</t>
  </si>
  <si>
    <t>CHOPE TUBIRNADA - BERLINER WEISSE - ESTOQUE</t>
  </si>
  <si>
    <t>2638</t>
  </si>
  <si>
    <t>5427</t>
  </si>
  <si>
    <t>2531</t>
  </si>
  <si>
    <t>4247</t>
  </si>
  <si>
    <t>CHOPE TURBINADA - SESSION IPA -400ML</t>
  </si>
  <si>
    <t>4246</t>
  </si>
  <si>
    <t>3850</t>
  </si>
  <si>
    <t>3849</t>
  </si>
  <si>
    <t>5165</t>
  </si>
  <si>
    <t>2533</t>
  </si>
  <si>
    <t>CHOPE TURBINADA BELGIAN BLOND ALE - 400ML</t>
  </si>
  <si>
    <t>2537</t>
  </si>
  <si>
    <t>5166</t>
  </si>
  <si>
    <t>5167</t>
  </si>
  <si>
    <t>5942</t>
  </si>
  <si>
    <t>5943</t>
  </si>
  <si>
    <t>5941</t>
  </si>
  <si>
    <t>CHOPE TURBINADA DOUBLE IPA - 300ML</t>
  </si>
  <si>
    <t>6144</t>
  </si>
  <si>
    <t>CHOPE TURBINADA DOUBLE IPA - 400ML</t>
  </si>
  <si>
    <t>6145</t>
  </si>
  <si>
    <t>6142</t>
  </si>
  <si>
    <t>5938</t>
  </si>
  <si>
    <t>CHOPE TURBINADA DUNKEL- 300ML</t>
  </si>
  <si>
    <t>5940</t>
  </si>
  <si>
    <t>5939</t>
  </si>
  <si>
    <t>5430</t>
  </si>
  <si>
    <t>CHOPE TURBINADA ENGLISH IPA 300ML</t>
  </si>
  <si>
    <t>5432</t>
  </si>
  <si>
    <t>CHOPE TURBINADA ENGLISH IPA 400ML</t>
  </si>
  <si>
    <t>5431</t>
  </si>
  <si>
    <t>CHOPE TURBINADA SESSION IPA  ESTOQUE - TAP</t>
  </si>
  <si>
    <t>4245</t>
  </si>
  <si>
    <t>6286</t>
  </si>
  <si>
    <t>CHOPE TURBINADA STOUT -300ML</t>
  </si>
  <si>
    <t>6322</t>
  </si>
  <si>
    <t>CHOPE TURBINADA STOUT-400ML</t>
  </si>
  <si>
    <t>6321</t>
  </si>
  <si>
    <t>CHOPE TURBINADA WEIZEN - ESTOQUE - TAP</t>
  </si>
  <si>
    <t>3848</t>
  </si>
  <si>
    <t>CHOPE TURVINHA  - ESTOQUE TAP</t>
  </si>
  <si>
    <t>6294</t>
  </si>
  <si>
    <t>2242</t>
  </si>
  <si>
    <t>2241</t>
  </si>
  <si>
    <t>2243</t>
  </si>
  <si>
    <t>CHOPE ULLR SCHWARZ - 300ML</t>
  </si>
  <si>
    <t>5070</t>
  </si>
  <si>
    <t>CHOPE ULLR SCHWARZ - 400ML</t>
  </si>
  <si>
    <t>5069</t>
  </si>
  <si>
    <t>2908</t>
  </si>
  <si>
    <t>CHOPE UNDER CONFUSION - ESTOQUE</t>
  </si>
  <si>
    <t>1163</t>
  </si>
  <si>
    <t>CHOPE VAN DUTCH  AMERICAN IPA DE VERAO - 400ML</t>
  </si>
  <si>
    <t>3804</t>
  </si>
  <si>
    <t>2783</t>
  </si>
  <si>
    <t>2782</t>
  </si>
  <si>
    <t>3803</t>
  </si>
  <si>
    <t>CHOPE VAN DUTCH - QUEEN SOUR 300ML</t>
  </si>
  <si>
    <t>3619</t>
  </si>
  <si>
    <t>431</t>
  </si>
  <si>
    <t>2781</t>
  </si>
  <si>
    <t>CHOPE VAN DUTCH 6 ANOS AMERICAN IPA - 300ML</t>
  </si>
  <si>
    <t>5672</t>
  </si>
  <si>
    <t>5665</t>
  </si>
  <si>
    <t>5664</t>
  </si>
  <si>
    <t>CHOPE VAN DUTCH BEER  MOSAIC IPA AMERICAN IPA - ESTOQUE</t>
  </si>
  <si>
    <t>1234</t>
  </si>
  <si>
    <t>CHOPE VAN DUTCH THUNDER DOPPELBOCK - 300ML</t>
  </si>
  <si>
    <t>5342</t>
  </si>
  <si>
    <t>5341</t>
  </si>
  <si>
    <t>5340</t>
  </si>
  <si>
    <t>CHOPE VANILLA STOUT   - ESTOQUE</t>
  </si>
  <si>
    <t>1306</t>
  </si>
  <si>
    <t>CHOPE VANILLA STOUT (OATMEAL STOUT) - 300ML</t>
  </si>
  <si>
    <t>742</t>
  </si>
  <si>
    <t>CHOPE VANILLA STOUT (OATMEAL STOUT) - 400ML</t>
  </si>
  <si>
    <t>743</t>
  </si>
  <si>
    <t>CHOPE VIRA LATA DE PÁSCOA</t>
  </si>
  <si>
    <t>4634</t>
  </si>
  <si>
    <t>CHOPE WAMAHOY - AUSTRALIAN IPA 300ML</t>
  </si>
  <si>
    <t>4165</t>
  </si>
  <si>
    <t>4164</t>
  </si>
  <si>
    <t>2940</t>
  </si>
  <si>
    <t>2939</t>
  </si>
  <si>
    <t>2941</t>
  </si>
  <si>
    <t>CHOPE WAMAHOY - ENGLISH PALE ALE</t>
  </si>
  <si>
    <t>1235</t>
  </si>
  <si>
    <t>CHOPE WAMAHOY - EXTRA STOUT 300ML</t>
  </si>
  <si>
    <t>960</t>
  </si>
  <si>
    <t>961</t>
  </si>
  <si>
    <t>1236</t>
  </si>
  <si>
    <t>CHOPE WAMAHOY - GOLDEN ALE - 300ML</t>
  </si>
  <si>
    <t>6625</t>
  </si>
  <si>
    <t>6624</t>
  </si>
  <si>
    <t>CHOPE WAMAHOY - IRISH RED ALE</t>
  </si>
  <si>
    <t>1238</t>
  </si>
  <si>
    <t>CHOPE WAMAHOY - IRISH RED ALE 300ML</t>
  </si>
  <si>
    <t>863</t>
  </si>
  <si>
    <t>CHOPE WAMAHOY - IRISH RED ALE 400ML</t>
  </si>
  <si>
    <t>864</t>
  </si>
  <si>
    <t>4816</t>
  </si>
  <si>
    <t>CHOPE WAMAHOY - NEIPA -300ML</t>
  </si>
  <si>
    <t>4818</t>
  </si>
  <si>
    <t>4817</t>
  </si>
  <si>
    <t>4163</t>
  </si>
  <si>
    <t>CHOPE WAMAHOY GOLDEN ALE ESTOQUE TAP</t>
  </si>
  <si>
    <t>6565</t>
  </si>
  <si>
    <t>6080</t>
  </si>
  <si>
    <t>6079</t>
  </si>
  <si>
    <t>CHOPE WELT BIER PILSEN - ESTOQUE</t>
  </si>
  <si>
    <t>1307</t>
  </si>
  <si>
    <t>CHOPE WELT PILSEN 300ML</t>
  </si>
  <si>
    <t>202</t>
  </si>
  <si>
    <t>CHOPE WELT PILSEN 400ML</t>
  </si>
  <si>
    <t>848</t>
  </si>
  <si>
    <t>CHOPE WHITE CHOCOLAT STOUT- 300ML</t>
  </si>
  <si>
    <t>2804</t>
  </si>
  <si>
    <t>CHOPE WHITE CHOCOLAT STOUT- 400ML</t>
  </si>
  <si>
    <t>2803</t>
  </si>
  <si>
    <t>2802</t>
  </si>
  <si>
    <t>CHOPE WHITE FUSION - 300ML</t>
  </si>
  <si>
    <t>5169</t>
  </si>
  <si>
    <t>5168</t>
  </si>
  <si>
    <t>CHOPE WHITE FUSION - ESTOQUE TAP</t>
  </si>
  <si>
    <t>5160</t>
  </si>
  <si>
    <t>CHOPE WILLIE THE BITTER - 300ML</t>
  </si>
  <si>
    <t>717</t>
  </si>
  <si>
    <t>CHOPE WILLIE THE BITTER - 400ML</t>
  </si>
  <si>
    <t>718</t>
  </si>
  <si>
    <t>CHOPE WILLIE THE BITTER - ESTOQUE TAP</t>
  </si>
  <si>
    <t>1308</t>
  </si>
  <si>
    <t>5059</t>
  </si>
  <si>
    <t>5058</t>
  </si>
  <si>
    <t>CHOPE XAMA  ANAHÍ - ESTOQUE TAP</t>
  </si>
  <si>
    <t>5057</t>
  </si>
  <si>
    <t>CHOPE XAMA ARTE RESISTE - 300ML</t>
  </si>
  <si>
    <t>6419</t>
  </si>
  <si>
    <t>CHOPE XAMA ARTE RESISTE - 400ML</t>
  </si>
  <si>
    <t>6418</t>
  </si>
  <si>
    <t>6330</t>
  </si>
  <si>
    <t>CHOPE XAMA BOIUNA PILSNER - 300ML</t>
  </si>
  <si>
    <t>4436</t>
  </si>
  <si>
    <t>4435</t>
  </si>
  <si>
    <t>4166</t>
  </si>
  <si>
    <t>CHOPE XAMA CUIETE- 400ML</t>
  </si>
  <si>
    <t>4167</t>
  </si>
  <si>
    <t>4162</t>
  </si>
  <si>
    <t>4600</t>
  </si>
  <si>
    <t>CHOPE XAMA ENLACE MERLOT - 300ML</t>
  </si>
  <si>
    <t>4598</t>
  </si>
  <si>
    <t>4601</t>
  </si>
  <si>
    <t>CHOPE XAMA FRUTAS AMARELAS - 300ML</t>
  </si>
  <si>
    <t>4448</t>
  </si>
  <si>
    <t>4447</t>
  </si>
  <si>
    <t>4264</t>
  </si>
  <si>
    <t>5530</t>
  </si>
  <si>
    <t>5531</t>
  </si>
  <si>
    <t>CHOPE XAMA MALANA TERP NEIPA 400ML</t>
  </si>
  <si>
    <t>5532</t>
  </si>
  <si>
    <t>CHOPE XAMA NECTAR HOP LAGER - 300ML</t>
  </si>
  <si>
    <t>5671</t>
  </si>
  <si>
    <t>5670</t>
  </si>
  <si>
    <t>5669</t>
  </si>
  <si>
    <t>CHOPE XAMA- APACHE SOUR - 300ML</t>
  </si>
  <si>
    <t>4821</t>
  </si>
  <si>
    <t>CHOPE XAMA- APACHE SOUR - 400ML</t>
  </si>
  <si>
    <t>4820</t>
  </si>
  <si>
    <t>CHOPE XAMÃ - CAJU E CAJA 300ML</t>
  </si>
  <si>
    <t>3723</t>
  </si>
  <si>
    <t>3722</t>
  </si>
  <si>
    <t>CHOPE XAMÃ - PASSIONE SOUR 300ML</t>
  </si>
  <si>
    <t>764</t>
  </si>
  <si>
    <t>CHOPE XAMÃ - PASSIONE SOUR 400ML</t>
  </si>
  <si>
    <t>765</t>
  </si>
  <si>
    <t>CHOPE XAMÃ - PELE VERMELHA RED ALE 300ML</t>
  </si>
  <si>
    <t>761</t>
  </si>
  <si>
    <t>CHOPE XAMÃ - PELE VERMELHA RED ALE 400ML</t>
  </si>
  <si>
    <t>766</t>
  </si>
  <si>
    <t>CHOPE XP 079 PUMPKIN PALE ALE - ESTOQUE</t>
  </si>
  <si>
    <t>1250</t>
  </si>
  <si>
    <t>CHOPE XP 08 - MUNICH HELLES - ESTOQUE</t>
  </si>
  <si>
    <t>1251</t>
  </si>
  <si>
    <t>CHOPE XP 083 - SOUR BRUTT - ESTOQUE</t>
  </si>
  <si>
    <t>1249</t>
  </si>
  <si>
    <t>1052</t>
  </si>
  <si>
    <t>CHOPE XP 083 - SOUR BRUTT-  400ML</t>
  </si>
  <si>
    <t>1057</t>
  </si>
  <si>
    <t>CHOPE XP 085 RANNA RIDER SOUR - ESTOQUE TAP</t>
  </si>
  <si>
    <t>2656</t>
  </si>
  <si>
    <t>2983</t>
  </si>
  <si>
    <t>2984</t>
  </si>
  <si>
    <t>CHOPE XP 088 DOUBLE IPA - 300ML</t>
  </si>
  <si>
    <t>3629</t>
  </si>
  <si>
    <t>CHOPE XP 088 DOUBLE IPA - 400ML</t>
  </si>
  <si>
    <t>3628</t>
  </si>
  <si>
    <t>CHOPE XP 090 BR ALE - 300ML</t>
  </si>
  <si>
    <t>4418</t>
  </si>
  <si>
    <t>4417</t>
  </si>
  <si>
    <t>4453</t>
  </si>
  <si>
    <t>4452</t>
  </si>
  <si>
    <t>CHOPE XP 095 - BROWN IPA - ESTOQUE TAP</t>
  </si>
  <si>
    <t>6299</t>
  </si>
  <si>
    <t>CHOPE XP 89 APA BALA  - 300ML</t>
  </si>
  <si>
    <t>3689</t>
  </si>
  <si>
    <t>3688</t>
  </si>
  <si>
    <t>CHOPE XP084 COCONUT BURST - NEIPA COM COCO - ESTOQUE TAP</t>
  </si>
  <si>
    <t>1618</t>
  </si>
  <si>
    <t>CHOPE XP093-D NEIPA COM CAFE - ESTOQUE TAP</t>
  </si>
  <si>
    <t>5855</t>
  </si>
  <si>
    <t>CHOPE XÃMA -APACHE SOUR - ESTOQUE TAP</t>
  </si>
  <si>
    <t>4819</t>
  </si>
  <si>
    <t>CHOPE YEAST MAGIC FOGGY IPA - ESTOQUE</t>
  </si>
  <si>
    <t>1197</t>
  </si>
  <si>
    <t>CHOPE YEAST MAGIC FOGGY IPA 300ML</t>
  </si>
  <si>
    <t>859</t>
  </si>
  <si>
    <t>CHOPE YEAST MAGIC FOGGY IPA 400ML</t>
  </si>
  <si>
    <t>860</t>
  </si>
  <si>
    <t>6699</t>
  </si>
  <si>
    <t>4209</t>
  </si>
  <si>
    <t>4210</t>
  </si>
  <si>
    <t>CHOPE YELLOW FUSION-300ML</t>
  </si>
  <si>
    <t>4211</t>
  </si>
  <si>
    <t>CHOPE YELLOW RED SPIRIT- 300ML</t>
  </si>
  <si>
    <t>6707</t>
  </si>
  <si>
    <t>6706</t>
  </si>
  <si>
    <t>CHOPE ZE DO MORRO  - ESTOQUE TAP</t>
  </si>
  <si>
    <t>1310</t>
  </si>
  <si>
    <t>CHOPE ZE DO MORRO NO TANQUE</t>
  </si>
  <si>
    <t>3631</t>
  </si>
  <si>
    <t>CHOPE- SESSION IPA 300ML</t>
  </si>
  <si>
    <t>4178</t>
  </si>
  <si>
    <t>4177</t>
  </si>
  <si>
    <t>CHOPP OLD CAR HOPSTER - ESTOQUE TAP</t>
  </si>
  <si>
    <t>53886105</t>
  </si>
  <si>
    <t>CHOPP TURBINADA ENGLISH IPA - ESTOQUE TAP</t>
  </si>
  <si>
    <t>53886104</t>
  </si>
  <si>
    <t>CHORI-PORÇAO</t>
  </si>
  <si>
    <t>169</t>
  </si>
  <si>
    <t>CHORIPAN SANDUBA</t>
  </si>
  <si>
    <t>185</t>
  </si>
  <si>
    <t>2434</t>
  </si>
  <si>
    <t>CHUTA ESSA MANGA -300ML</t>
  </si>
  <si>
    <t>2436</t>
  </si>
  <si>
    <t>2435</t>
  </si>
  <si>
    <t>CINZEIRO BULLDOG</t>
  </si>
  <si>
    <t>230</t>
  </si>
  <si>
    <t>3154</t>
  </si>
  <si>
    <t>CLEANER MATIC PLUS BB 05 LITROS - ESTOQUE TAP</t>
  </si>
  <si>
    <t>53886102</t>
  </si>
  <si>
    <t>COBERTURA PARA SORVETE CHOCOLATE - ESTOQUE TAP</t>
  </si>
  <si>
    <t>15</t>
  </si>
  <si>
    <t>COCO RALADO - ESTOQUE TAP</t>
  </si>
  <si>
    <t>3526</t>
  </si>
  <si>
    <t>COCONUT BURST - LATA 473ML</t>
  </si>
  <si>
    <t>1246</t>
  </si>
  <si>
    <t>COENTRO - ESTOQUE TAP</t>
  </si>
  <si>
    <t>1523</t>
  </si>
  <si>
    <t>COGUMELO FUNGHI SECO - ESTOQUE TAP</t>
  </si>
  <si>
    <t>4488</t>
  </si>
  <si>
    <t>COGUMELO PARIS - ESTOQUE</t>
  </si>
  <si>
    <t>1489</t>
  </si>
  <si>
    <t>COGUMELO SHIMEJI - ESTOQUE</t>
  </si>
  <si>
    <t>966</t>
  </si>
  <si>
    <t>COGUMELO SHITAKI - ESTOQUE</t>
  </si>
  <si>
    <t>1491</t>
  </si>
  <si>
    <t>COLA BRANCA</t>
  </si>
  <si>
    <t>747</t>
  </si>
  <si>
    <t>COLDBREW CAPIM LIMAO</t>
  </si>
  <si>
    <t>4050</t>
  </si>
  <si>
    <t>5687</t>
  </si>
  <si>
    <t>COLHER DE CAFE</t>
  </si>
  <si>
    <t>917</t>
  </si>
  <si>
    <t>COLHER DE SOBREMESA</t>
  </si>
  <si>
    <t>916</t>
  </si>
  <si>
    <t>COLHER PARA COZINHA - ESTOQUE TAP</t>
  </si>
  <si>
    <t>4773</t>
  </si>
  <si>
    <t>COMBO CASAL: DUPLA BASTARDA</t>
  </si>
  <si>
    <t>5678</t>
  </si>
  <si>
    <t>COMBO FAMILIA: QUARTETO BASTARDO</t>
  </si>
  <si>
    <t>5676</t>
  </si>
  <si>
    <t>CONE COM SUPORTE PARA MOLHO - ESTOQUE TAP</t>
  </si>
  <si>
    <t>53885963</t>
  </si>
  <si>
    <t>3151</t>
  </si>
  <si>
    <t>CONHAQUE BRANDY OSBORNE - DOSE</t>
  </si>
  <si>
    <t>57</t>
  </si>
  <si>
    <t>CONHAQUE DOMECQ - ESTOQUE TAP</t>
  </si>
  <si>
    <t>5781</t>
  </si>
  <si>
    <t>CONHAQUE DREHER - ESTOQUE</t>
  </si>
  <si>
    <t>494</t>
  </si>
  <si>
    <t>CONHAQUE PRESIDENTE - ESTOQUE TAP</t>
  </si>
  <si>
    <t>995</t>
  </si>
  <si>
    <t>2728</t>
  </si>
  <si>
    <t>CONTRA FILE BOVINO SEM OSSO</t>
  </si>
  <si>
    <t>1499</t>
  </si>
  <si>
    <t>COOKIE MARK THE PASCOA</t>
  </si>
  <si>
    <t>4632</t>
  </si>
  <si>
    <t>COOL DE BURRO CACHORRO</t>
  </si>
  <si>
    <t>114</t>
  </si>
  <si>
    <t>COPO - TOUR NA FABRICA</t>
  </si>
  <si>
    <t>4533</t>
  </si>
  <si>
    <t>COPO 330ML</t>
  </si>
  <si>
    <t>965</t>
  </si>
  <si>
    <t>COPO 440ML</t>
  </si>
  <si>
    <t>964</t>
  </si>
  <si>
    <t>COPO 50ML</t>
  </si>
  <si>
    <t>74</t>
  </si>
  <si>
    <t>3687</t>
  </si>
  <si>
    <t>COPO AMERICANO (BAR/ CHOPP)</t>
  </si>
  <si>
    <t>2610</t>
  </si>
  <si>
    <t>COPO AMERICANO BSTRDS</t>
  </si>
  <si>
    <t>618</t>
  </si>
  <si>
    <t>5848</t>
  </si>
  <si>
    <t>COPO AMERICANO WALK LIKE A DOG 450ML</t>
  </si>
  <si>
    <t>5847</t>
  </si>
  <si>
    <t>COPO AMERICANO WE ARE BASTARDS 450ML</t>
  </si>
  <si>
    <t>5846</t>
  </si>
  <si>
    <t>COPO CALDERETA (BAR)</t>
  </si>
  <si>
    <t>2609</t>
  </si>
  <si>
    <t>COPO CALDERETA 2 LOGOS - AMARELO E BCO</t>
  </si>
  <si>
    <t>596</t>
  </si>
  <si>
    <t>COPO CALDERETA 2 LOGOS - PTO E CINZA</t>
  </si>
  <si>
    <t>562</t>
  </si>
  <si>
    <t>COPO CALDERETA DOG BASTARDS BRANCO 350ML</t>
  </si>
  <si>
    <t>922</t>
  </si>
  <si>
    <t>COPO CALDERETA DOG BASTARDS PRETO 350ML</t>
  </si>
  <si>
    <t>1072</t>
  </si>
  <si>
    <t>COPO CAMERATTA - ESTOQUE TAP</t>
  </si>
  <si>
    <t>3927</t>
  </si>
  <si>
    <t>3323</t>
  </si>
  <si>
    <t>COPO DE VIDRO MIXOLOGIA - ESTOQUE TAP</t>
  </si>
  <si>
    <t>3928</t>
  </si>
  <si>
    <t>COPO DOSE ALUMINIO</t>
  </si>
  <si>
    <t>977</t>
  </si>
  <si>
    <t>COPO DUBAI</t>
  </si>
  <si>
    <t>919</t>
  </si>
  <si>
    <t>COPO DUBAI - BARK E HONK</t>
  </si>
  <si>
    <t>203865T</t>
  </si>
  <si>
    <t>COPO IT'S COU</t>
  </si>
  <si>
    <t>380</t>
  </si>
  <si>
    <t>COPO LONG DRINK (BAR) - ESTOQUE TAP</t>
  </si>
  <si>
    <t>4612</t>
  </si>
  <si>
    <t>4613</t>
  </si>
  <si>
    <t>COPO MACUMBAZILLA</t>
  </si>
  <si>
    <t>297</t>
  </si>
  <si>
    <t>COPO MANCHESTER</t>
  </si>
  <si>
    <t>921</t>
  </si>
  <si>
    <t>COPO MINI STOUT DOG OLHO RASGADO 285ML</t>
  </si>
  <si>
    <t>659</t>
  </si>
  <si>
    <t>COPO MINI STOUT WE ARE BASTARDS 285ML</t>
  </si>
  <si>
    <t>664</t>
  </si>
  <si>
    <t>COPO P/  TESTE</t>
  </si>
  <si>
    <t>PC</t>
  </si>
  <si>
    <t>5545</t>
  </si>
  <si>
    <t>COPO PARA REFRESCO 410ML VIDRO - ESTOQUE TAP</t>
  </si>
  <si>
    <t>5814</t>
  </si>
  <si>
    <t>COPO PLASTICO</t>
  </si>
  <si>
    <t>912</t>
  </si>
  <si>
    <t>6031</t>
  </si>
  <si>
    <t>COPO STOUT DOG OLHO RASGADO 473ML</t>
  </si>
  <si>
    <t>284</t>
  </si>
  <si>
    <t>COPO STOUT WALK LIKE A DOG 473ML</t>
  </si>
  <si>
    <t>285</t>
  </si>
  <si>
    <t>COPO TEQUILA 60ml - ESTOQUE TAP</t>
  </si>
  <si>
    <t>6030</t>
  </si>
  <si>
    <t>COPO WHISKY (BAR) - ESTOQUE TAP</t>
  </si>
  <si>
    <t>4901</t>
  </si>
  <si>
    <t>COPO WHISKY ESTOQUE TAP</t>
  </si>
  <si>
    <t>53886100</t>
  </si>
  <si>
    <t>COQUETELEIRA</t>
  </si>
  <si>
    <t>2724</t>
  </si>
  <si>
    <t>CORTADOR BULLDOG</t>
  </si>
  <si>
    <t>232</t>
  </si>
  <si>
    <t>5372</t>
  </si>
  <si>
    <t>5557</t>
  </si>
  <si>
    <t>COUVE MANTEIGA - ESTOQUE TAP</t>
  </si>
  <si>
    <t>1516</t>
  </si>
  <si>
    <t>COWABUNGA</t>
  </si>
  <si>
    <t>4351</t>
  </si>
  <si>
    <t>COXA COM SOBRECOXA EMPANADA CAJUN -TAP</t>
  </si>
  <si>
    <t>5177</t>
  </si>
  <si>
    <t>COXA DA ASA - ESTOQUE TAP</t>
  </si>
  <si>
    <t>2502</t>
  </si>
  <si>
    <t>CRAVO DA INDIA - ESTOQUE</t>
  </si>
  <si>
    <t>1521</t>
  </si>
  <si>
    <t>CREAM CHEESE - ESTOQUE TAP</t>
  </si>
  <si>
    <t>1522</t>
  </si>
  <si>
    <t>CREME DE LEITE - ESTOQUE TAP</t>
  </si>
  <si>
    <t>1524</t>
  </si>
  <si>
    <t>4486</t>
  </si>
  <si>
    <t>711</t>
  </si>
  <si>
    <t>CRIATURA DO PANTANO - ESTOQUE</t>
  </si>
  <si>
    <t>1314</t>
  </si>
  <si>
    <t>CROCANTE DOCE</t>
  </si>
  <si>
    <t>3525</t>
  </si>
  <si>
    <t>CROCANTE DOCE DE LEITE - ESTOQUE TAP</t>
  </si>
  <si>
    <t>5890</t>
  </si>
  <si>
    <t>CROQUETE DE COSTELA</t>
  </si>
  <si>
    <t>172</t>
  </si>
  <si>
    <t>1112</t>
  </si>
  <si>
    <t>CUERVO COLADA</t>
  </si>
  <si>
    <t>5071</t>
  </si>
  <si>
    <t>CUERVO MARGARITA</t>
  </si>
  <si>
    <t>115</t>
  </si>
  <si>
    <t>4352</t>
  </si>
  <si>
    <t>5485</t>
  </si>
  <si>
    <t>5484</t>
  </si>
  <si>
    <t>CURA -TUDO</t>
  </si>
  <si>
    <t>4348</t>
  </si>
  <si>
    <t>CUSTO ADICIONAL</t>
  </si>
  <si>
    <t>744</t>
  </si>
  <si>
    <t>CUSTO DE ACOMPANHAMENTO - ESTOQUE TAP</t>
  </si>
  <si>
    <t>2828</t>
  </si>
  <si>
    <t>CUSTO DE ACOMPANHAMENTO BG ENTRADA+SOBREMESA OUT.23 - TAP</t>
  </si>
  <si>
    <t>3590</t>
  </si>
  <si>
    <t>CYNAR - ESTOQUE TAP</t>
  </si>
  <si>
    <t>1009</t>
  </si>
  <si>
    <t>CYNAR JULEP</t>
  </si>
  <si>
    <t>116</t>
  </si>
  <si>
    <t>Cabo Rede 4P Cmx Cat 5E Sohoplus Azul</t>
  </si>
  <si>
    <t>1434</t>
  </si>
  <si>
    <t>Cacarola N 30 Aluminio 0 Lts - Aluminio Real</t>
  </si>
  <si>
    <t>1435</t>
  </si>
  <si>
    <t>Caixa De Passagem Pvc</t>
  </si>
  <si>
    <t>1442</t>
  </si>
  <si>
    <t>Capa De Ombrelone 2</t>
  </si>
  <si>
    <t>1447</t>
  </si>
  <si>
    <t>Cebolletti Kg</t>
  </si>
  <si>
    <t>1505</t>
  </si>
  <si>
    <t>Cerveja Estilo Baltic Porter</t>
  </si>
  <si>
    <t>1081</t>
  </si>
  <si>
    <t>Cerveja Estilo Ipa Tennessee</t>
  </si>
  <si>
    <t>1082</t>
  </si>
  <si>
    <t>Cesto  Passador De Massa -  Brinox</t>
  </si>
  <si>
    <t>1469</t>
  </si>
  <si>
    <t>Chocolate Em Pa</t>
  </si>
  <si>
    <t>1477</t>
  </si>
  <si>
    <t>Chope  Blackberry Brown Porter</t>
  </si>
  <si>
    <t>1084</t>
  </si>
  <si>
    <t>Chope  English Pale Ale</t>
  </si>
  <si>
    <t>1259</t>
  </si>
  <si>
    <t>Chope  Limitless Range Chope</t>
  </si>
  <si>
    <t>1267</t>
  </si>
  <si>
    <t>Chope  Mamba Apa Pr</t>
  </si>
  <si>
    <t>1269</t>
  </si>
  <si>
    <t>Chope  Moon Clocks</t>
  </si>
  <si>
    <t>1272</t>
  </si>
  <si>
    <t>Chope  Moon Hazy</t>
  </si>
  <si>
    <t>1273</t>
  </si>
  <si>
    <t>Chope  Moon Waves - Ipa Fcca</t>
  </si>
  <si>
    <t>1274</t>
  </si>
  <si>
    <t>Chope  Nao Me Kahlo</t>
  </si>
  <si>
    <t>1278</t>
  </si>
  <si>
    <t>Chope  Place For Everything Chope</t>
  </si>
  <si>
    <t>1280</t>
  </si>
  <si>
    <t>Chope  Rose Like A Rocket Chope</t>
  </si>
  <si>
    <t>1281</t>
  </si>
  <si>
    <t>Chope  Swamp - Lucy In The Sky -Witbier-</t>
  </si>
  <si>
    <t>1085</t>
  </si>
  <si>
    <t>Chope  Swords E Shields Chope</t>
  </si>
  <si>
    <t>1283</t>
  </si>
  <si>
    <t>Chope  Turbinada Double Brown Ale</t>
  </si>
  <si>
    <t>1254</t>
  </si>
  <si>
    <t>Chope  Turbinada German Pilsen</t>
  </si>
  <si>
    <t>1255</t>
  </si>
  <si>
    <t>Chope - Xp 080 -Sidra-</t>
  </si>
  <si>
    <t>1086</t>
  </si>
  <si>
    <t>Chope 4 Hops Brewery - American Pale Ale</t>
  </si>
  <si>
    <t>1089</t>
  </si>
  <si>
    <t>Chope 4 Hops Brewery - Mind The Hop -New England Ipa-</t>
  </si>
  <si>
    <t>1090</t>
  </si>
  <si>
    <t>Chope 4 Hops Brewery - West Coast Ipa</t>
  </si>
  <si>
    <t>1091</t>
  </si>
  <si>
    <t>Chope 7 Palmos - Botocudo -American Ipa-</t>
  </si>
  <si>
    <t>1092</t>
  </si>
  <si>
    <t>Chope Acid Blood -Imperial Sour-</t>
  </si>
  <si>
    <t>1093</t>
  </si>
  <si>
    <t>Chope Ade Bier - West Coast Ipa Singlehop Idaho 7</t>
  </si>
  <si>
    <t>1094</t>
  </si>
  <si>
    <t>Chope African Queen - Double Ipa -Joy Project-</t>
  </si>
  <si>
    <t>1095</t>
  </si>
  <si>
    <t>Chope Alright - After Dusk -Dark Wild Ale-</t>
  </si>
  <si>
    <t>1096</t>
  </si>
  <si>
    <t>Chope Alright - Pirate Queen -Sour-</t>
  </si>
  <si>
    <t>1097</t>
  </si>
  <si>
    <t>Chope Alright - Witty -Witbier-</t>
  </si>
  <si>
    <t>1098</t>
  </si>
  <si>
    <t>Chope Alright Brewing Co - Tennessee Ipa - Wood Aged Ipa</t>
  </si>
  <si>
    <t>1100</t>
  </si>
  <si>
    <t>Chope Annoying Toranjito -West Coast Ipa Com Toranja-</t>
  </si>
  <si>
    <t>1101</t>
  </si>
  <si>
    <t>Chope Anthea - God Save The Beer -American Ipa-</t>
  </si>
  <si>
    <t>1102</t>
  </si>
  <si>
    <t>Chope Apache Sour</t>
  </si>
  <si>
    <t>1103</t>
  </si>
  <si>
    <t>Chope Australian Sparking Ale</t>
  </si>
  <si>
    <t>1104</t>
  </si>
  <si>
    <t>Chope Bastards - Sour Hakka</t>
  </si>
  <si>
    <t>1106</t>
  </si>
  <si>
    <t>Chope Bastards E Ignorus - Its Cou</t>
  </si>
  <si>
    <t>1107</t>
  </si>
  <si>
    <t>Chope Bastards E Macumbazilla - Black Napalm -Mark The Shado</t>
  </si>
  <si>
    <t>1108</t>
  </si>
  <si>
    <t>Chope Bastards E Narreal - Christmas Pudding</t>
  </si>
  <si>
    <t>1109</t>
  </si>
  <si>
    <t>Chope Bee Sour</t>
  </si>
  <si>
    <t>1110</t>
  </si>
  <si>
    <t>Chope Blond Marie  - Estoque</t>
  </si>
  <si>
    <t>1290</t>
  </si>
  <si>
    <t>Chope Brown Ale -Maniacs-</t>
  </si>
  <si>
    <t>1113</t>
  </si>
  <si>
    <t>Chope Burro Caja¡ - Colab Narcose Brewing</t>
  </si>
  <si>
    <t>1080</t>
  </si>
  <si>
    <t>Chope Cafe Da Manha Em Floripa</t>
  </si>
  <si>
    <t>1115</t>
  </si>
  <si>
    <t>Chope Caminho Viajante</t>
  </si>
  <si>
    <t>1116</t>
  </si>
  <si>
    <t>Chope Citric Drop -New England Ipa-</t>
  </si>
  <si>
    <t>1117</t>
  </si>
  <si>
    <t>Chope Close Your Ryes -Rye Ipa-</t>
  </si>
  <si>
    <t>1118</t>
  </si>
  <si>
    <t>Chope Colab Ignorus E Buddy - Boca Negra Stout</t>
  </si>
  <si>
    <t>1120</t>
  </si>
  <si>
    <t>Chope Collab Buddy Brewery E Ignorus - All In Apa</t>
  </si>
  <si>
    <t>1121</t>
  </si>
  <si>
    <t>Chope Collab Joy E Spartacus - Double Ipa</t>
  </si>
  <si>
    <t>1122</t>
  </si>
  <si>
    <t>Chope Desfoque -Session Ipa-</t>
  </si>
  <si>
    <t>1127</t>
  </si>
  <si>
    <t>Chope Drunk Barista</t>
  </si>
  <si>
    <t>1129</t>
  </si>
  <si>
    <t>Chope El Dorado - Apa -La Camineira-</t>
  </si>
  <si>
    <t>1130</t>
  </si>
  <si>
    <t>Chope Estrada - West Coast Ipa -La Camineira-</t>
  </si>
  <si>
    <t>1131</t>
  </si>
  <si>
    <t>Chope Fortuna - New Insalita</t>
  </si>
  <si>
    <t>1134</t>
  </si>
  <si>
    <t>Chope Fortuna - Vanilla Stout -Oatmeal Stout-</t>
  </si>
  <si>
    <t>1135</t>
  </si>
  <si>
    <t>Chope Fortuna Hey Hop</t>
  </si>
  <si>
    <t>1136</t>
  </si>
  <si>
    <t>1137</t>
  </si>
  <si>
    <t>Chope Fortuna New Insolita Barril Inox 30Lt</t>
  </si>
  <si>
    <t>1293</t>
  </si>
  <si>
    <t>Chope Frorenfeld - Pils -German Pilsner-</t>
  </si>
  <si>
    <t>1138</t>
  </si>
  <si>
    <t>Chope Ganeses -Imperial Ipa-</t>
  </si>
  <si>
    <t>1141</t>
  </si>
  <si>
    <t>Chope German Pilsner</t>
  </si>
  <si>
    <t>1142</t>
  </si>
  <si>
    <t>Chope Gobe - Lost In Lust</t>
  </si>
  <si>
    <t>1144</t>
  </si>
  <si>
    <t>Chope Gobe Craft Beers - Aint My Peach</t>
  </si>
  <si>
    <t>1146</t>
  </si>
  <si>
    <t>Chope Hazy Dog</t>
  </si>
  <si>
    <t>1149</t>
  </si>
  <si>
    <t>Chope Ignorus - Titanus -New England Ipa-</t>
  </si>
  <si>
    <t>1155</t>
  </si>
  <si>
    <t>Chope Ignorus E Beer Influenza - Nao Me Kahlo -Double Ipa-</t>
  </si>
  <si>
    <t>1157</t>
  </si>
  <si>
    <t>Chope Igonorus - Milk Sour Sheik</t>
  </si>
  <si>
    <t>1158</t>
  </si>
  <si>
    <t>Chope Its Cou - Estoque</t>
  </si>
  <si>
    <t>1295</t>
  </si>
  <si>
    <t>Chope Joy - Limitless Range</t>
  </si>
  <si>
    <t>1161</t>
  </si>
  <si>
    <t>Chope Joy - Tropical Minds -Sour Lager-</t>
  </si>
  <si>
    <t>1162</t>
  </si>
  <si>
    <t>1164</t>
  </si>
  <si>
    <t>Chope Joy Project - Rose Like A Rocket</t>
  </si>
  <si>
    <t>1165</t>
  </si>
  <si>
    <t>Chope Joy Project - Song Of The Sunset</t>
  </si>
  <si>
    <t>1166</t>
  </si>
  <si>
    <t>Chope Joy Project Brewing - Brigth Side Life New England Pal</t>
  </si>
  <si>
    <t>1167</t>
  </si>
  <si>
    <t>Chope Juan Caloto E Bastards - Triplo Infortunio Max Mallow</t>
  </si>
  <si>
    <t>1168</t>
  </si>
  <si>
    <t>Chope Kakadu - New England Ipa -La Camineira-</t>
  </si>
  <si>
    <t>1170</t>
  </si>
  <si>
    <t>Chope Mad Maniacs -Hazy Ipa-</t>
  </si>
  <si>
    <t>1172</t>
  </si>
  <si>
    <t>Chope Malina</t>
  </si>
  <si>
    <t>1173</t>
  </si>
  <si>
    <t>Chope Maniaccs - Caipirinha Sour</t>
  </si>
  <si>
    <t>1174</t>
  </si>
  <si>
    <t>Chope Maniacs - Yankee -New England Ipa-</t>
  </si>
  <si>
    <t>1177</t>
  </si>
  <si>
    <t>Chope Maniacs Bock</t>
  </si>
  <si>
    <t>1178</t>
  </si>
  <si>
    <t>Chope Maniacs Irish Red Ale</t>
  </si>
  <si>
    <t>1179</t>
  </si>
  <si>
    <t>Chope Masmorra - Garrote -Double Ipa-</t>
  </si>
  <si>
    <t>1181</t>
  </si>
  <si>
    <t>Chope Masmorra - Oni Sorachi -Hop Lager-</t>
  </si>
  <si>
    <t>1183</t>
  </si>
  <si>
    <t>Chope Masmorra - Penhasco -Mountain Ipa-</t>
  </si>
  <si>
    <t>1184</t>
  </si>
  <si>
    <t>Chope Masmorra - Sangre -Sour Ale -</t>
  </si>
  <si>
    <t>1185</t>
  </si>
  <si>
    <t>Chope Masmorra Cervejaria - Perverse3</t>
  </si>
  <si>
    <t>1187</t>
  </si>
  <si>
    <t>Chope Masmorra E Gobe Craft Beer -  Damnation -India Red Lag</t>
  </si>
  <si>
    <t>1186</t>
  </si>
  <si>
    <t>Chope Milky Punch Ipa - Gobe Craft Beers</t>
  </si>
  <si>
    <t>1188</t>
  </si>
  <si>
    <t>Chope Moondri - Green Light -Double Ipa-</t>
  </si>
  <si>
    <t>1190</t>
  </si>
  <si>
    <t>Chope Moondri - Moon Clocks Double New England Ipa</t>
  </si>
  <si>
    <t>1191</t>
  </si>
  <si>
    <t>Chope Moondri - Moon Hazy</t>
  </si>
  <si>
    <t>1192</t>
  </si>
  <si>
    <t>Chope Moondri - Moon Waves</t>
  </si>
  <si>
    <t>1193</t>
  </si>
  <si>
    <t>Chope Moondri - Orange Moon</t>
  </si>
  <si>
    <t>1195</t>
  </si>
  <si>
    <t>Chope Moytoy Dog -Triple Ne Ipa-</t>
  </si>
  <si>
    <t>1198</t>
  </si>
  <si>
    <t>Chope Okie Dokie Hop Lager</t>
  </si>
  <si>
    <t>1200</t>
  </si>
  <si>
    <t>Chope Palta Red Planet Ale</t>
  </si>
  <si>
    <t>1203</t>
  </si>
  <si>
    <t>Chope Red Ale</t>
  </si>
  <si>
    <t>1205</t>
  </si>
  <si>
    <t>Chope Redsteiner - Estoque</t>
  </si>
  <si>
    <t>1299</t>
  </si>
  <si>
    <t>Chope Riscania - Russian Imperial Stout</t>
  </si>
  <si>
    <t>1206</t>
  </si>
  <si>
    <t>Chope Scientia - Redsteiner</t>
  </si>
  <si>
    <t>1208</t>
  </si>
  <si>
    <t>Chope Scientia - Simcow</t>
  </si>
  <si>
    <t>1209</t>
  </si>
  <si>
    <t>Chope Scientia - Supernova Porter</t>
  </si>
  <si>
    <t>1210</t>
  </si>
  <si>
    <t>Chope Sophia Sour Caja</t>
  </si>
  <si>
    <t>1211</t>
  </si>
  <si>
    <t>Chope Srd - Brazilian Barley Wine -Bastards Brewery E Cervej</t>
  </si>
  <si>
    <t>1212</t>
  </si>
  <si>
    <t>Chope Swamp - American Ipa</t>
  </si>
  <si>
    <t>1213</t>
  </si>
  <si>
    <t>Chope Swamp - Foreplay</t>
  </si>
  <si>
    <t>1215</t>
  </si>
  <si>
    <t>Chope Swamp - German Pilsner</t>
  </si>
  <si>
    <t>1216</t>
  </si>
  <si>
    <t>Chope Swamp - Hop Bite</t>
  </si>
  <si>
    <t>1218</t>
  </si>
  <si>
    <t>Chope Swamp - Johnas Farm Pumpkin Amber Ale</t>
  </si>
  <si>
    <t>1219</t>
  </si>
  <si>
    <t>Chope Swamp - Uprising Hazy Pale Ale -New England Pale Ale-</t>
  </si>
  <si>
    <t>1220</t>
  </si>
  <si>
    <t>Chope TerracO Amnesia - Barril 30</t>
  </si>
  <si>
    <t>1300</t>
  </si>
  <si>
    <t>Chope TerracO Ga¡Rgula Mountain Ipa - Barril 30</t>
  </si>
  <si>
    <t>1301</t>
  </si>
  <si>
    <t>Chope TerracO Solve Et Coagvla Sour - Barril 30</t>
  </si>
  <si>
    <t>1303</t>
  </si>
  <si>
    <t>Chope Terraco - Amnesia -Scotch Ale-</t>
  </si>
  <si>
    <t>1221</t>
  </si>
  <si>
    <t>Chope Terraco - GaRgula -Mountain Ipa-</t>
  </si>
  <si>
    <t>1222</t>
  </si>
  <si>
    <t>Chope Terraco - Mimosa Mecanica -American Ipa C- Suco De Mim</t>
  </si>
  <si>
    <t>1223</t>
  </si>
  <si>
    <t>Chope Terraco - Solve Et Coagula Sour</t>
  </si>
  <si>
    <t>1224</t>
  </si>
  <si>
    <t>Chope Terraco - Stoutrix -Oatmeal Stout-</t>
  </si>
  <si>
    <t>1225</t>
  </si>
  <si>
    <t>Chope Turbinada - German Pilsner</t>
  </si>
  <si>
    <t>1228</t>
  </si>
  <si>
    <t>Chope Turbinada - Imperial Red Ale</t>
  </si>
  <si>
    <t>1229</t>
  </si>
  <si>
    <t>Chope Turbinada Apa</t>
  </si>
  <si>
    <t>1230</t>
  </si>
  <si>
    <t>Chope Turbinada Imperial Red Ale</t>
  </si>
  <si>
    <t>1256</t>
  </si>
  <si>
    <t>Chope Turbinada Stout</t>
  </si>
  <si>
    <t>1231</t>
  </si>
  <si>
    <t>Chope Urbinada Stout</t>
  </si>
  <si>
    <t>1257</t>
  </si>
  <si>
    <t>Chope Van Dutch Beer - Mamba -American Pale Ale-</t>
  </si>
  <si>
    <t>1233</t>
  </si>
  <si>
    <t>Chope Wamahoy - Golden Ale</t>
  </si>
  <si>
    <t>1237</t>
  </si>
  <si>
    <t>Chope Wensky - Malina Witbier Com Framboesa</t>
  </si>
  <si>
    <t>1240</t>
  </si>
  <si>
    <t>Chope Wensky - Saci Amber</t>
  </si>
  <si>
    <t>1241</t>
  </si>
  <si>
    <t>Chope White Ipa</t>
  </si>
  <si>
    <t>1242</t>
  </si>
  <si>
    <t>Chope Xama - Catharina Sour</t>
  </si>
  <si>
    <t>1244</t>
  </si>
  <si>
    <t>Chope Xama - Catharina Sour -Frutas Vermelhas-</t>
  </si>
  <si>
    <t>1245</t>
  </si>
  <si>
    <t>Chope Xp 078 - American Strong Ale</t>
  </si>
  <si>
    <t>1248</t>
  </si>
  <si>
    <t>Chope Xp Golden Flamingo - Estoque</t>
  </si>
  <si>
    <t>1309</t>
  </si>
  <si>
    <t>Chope Yellow Is The New Coffe</t>
  </si>
  <si>
    <t>1252</t>
  </si>
  <si>
    <t>Chopp Red Planet Ale 30 Litros</t>
  </si>
  <si>
    <t>1311</t>
  </si>
  <si>
    <t>Choripan De Lombo C- Frutas</t>
  </si>
  <si>
    <t>1481</t>
  </si>
  <si>
    <t>Chorizo -200G- - Insumo</t>
  </si>
  <si>
    <t>1482</t>
  </si>
  <si>
    <t>Chorizo Red Angus -200G-</t>
  </si>
  <si>
    <t>1483</t>
  </si>
  <si>
    <t>Chucrute</t>
  </si>
  <si>
    <t>1484</t>
  </si>
  <si>
    <t>Clara Pasteurizada Flescheggs Kg-</t>
  </si>
  <si>
    <t>1514</t>
  </si>
  <si>
    <t>Colab Cherokee Chope - Estoque</t>
  </si>
  <si>
    <t>1313</t>
  </si>
  <si>
    <t>Colher De Mesa Viva -  Brinox</t>
  </si>
  <si>
    <t>1492</t>
  </si>
  <si>
    <t>Cominho Em Pa Kg</t>
  </si>
  <si>
    <t>1525</t>
  </si>
  <si>
    <t>Concha  Aluminio N 2 - Aluminio Real</t>
  </si>
  <si>
    <t>1494</t>
  </si>
  <si>
    <t>Concha Terrina Aco Inox Extrata -  Tramontina</t>
  </si>
  <si>
    <t>1495</t>
  </si>
  <si>
    <t>Cone Com Suporte Para Molho</t>
  </si>
  <si>
    <t>1496</t>
  </si>
  <si>
    <t>Contra File -60</t>
  </si>
  <si>
    <t>1497</t>
  </si>
  <si>
    <t>Contra File C-O</t>
  </si>
  <si>
    <t>1498</t>
  </si>
  <si>
    <t>Copo Mixer Medidor 600Ml 970Tr - Vidro Luvidarte</t>
  </si>
  <si>
    <t>1500</t>
  </si>
  <si>
    <t>Coqueteleira Inox 30Oz C- Base Lgc900 - Diversos Le Galo</t>
  </si>
  <si>
    <t>1503</t>
  </si>
  <si>
    <t>Corante Liquido</t>
  </si>
  <si>
    <t>1504</t>
  </si>
  <si>
    <t>Cord Paleta  2.2Kg Cg Frimazo</t>
  </si>
  <si>
    <t>1532</t>
  </si>
  <si>
    <t>Cortador De Leg Med 8Mm - Cortador Dak</t>
  </si>
  <si>
    <t>1506</t>
  </si>
  <si>
    <t>Cortador De Legumes Pq. 8Mm - Cortador Dak</t>
  </si>
  <si>
    <t>1507</t>
  </si>
  <si>
    <t>Cortador Inox Big</t>
  </si>
  <si>
    <t>1887</t>
  </si>
  <si>
    <t>Cortador Strainer - Diversos Kana</t>
  </si>
  <si>
    <t>1508</t>
  </si>
  <si>
    <t>Costelinha Defumada</t>
  </si>
  <si>
    <t>1513</t>
  </si>
  <si>
    <t>Couscous Fra Tipiak Kg</t>
  </si>
  <si>
    <t>1539</t>
  </si>
  <si>
    <t>Couve Flor Un</t>
  </si>
  <si>
    <t>1515</t>
  </si>
  <si>
    <t>Cupim A Congelado</t>
  </si>
  <si>
    <t>1527</t>
  </si>
  <si>
    <t>DAMASCO AZEDO - ESTOQUE</t>
  </si>
  <si>
    <t>1889</t>
  </si>
  <si>
    <t>DAMASCO SECO - ESTOQUE TAP</t>
  </si>
  <si>
    <t>4890</t>
  </si>
  <si>
    <t>DEMI GLACE</t>
  </si>
  <si>
    <t>5765</t>
  </si>
  <si>
    <t>DENVER STEAK - ESTOQUE TAP</t>
  </si>
  <si>
    <t>3016</t>
  </si>
  <si>
    <t>DENVER STEAK GRELHADO COM MOLHO GORGONZOLA</t>
  </si>
  <si>
    <t>3047</t>
  </si>
  <si>
    <t>DESEC X-15 BB 05 LITROS - ESTOQUE TAP</t>
  </si>
  <si>
    <t>53886103</t>
  </si>
  <si>
    <t>DESMOLDANTE</t>
  </si>
  <si>
    <t>969</t>
  </si>
  <si>
    <t>DETERGENTE</t>
  </si>
  <si>
    <t>1964</t>
  </si>
  <si>
    <t>DI PAULA</t>
  </si>
  <si>
    <t>5073</t>
  </si>
  <si>
    <t>DIPLOMATA</t>
  </si>
  <si>
    <t>5679</t>
  </si>
  <si>
    <t>DIRTY MARTINI</t>
  </si>
  <si>
    <t>5406</t>
  </si>
  <si>
    <t>1974</t>
  </si>
  <si>
    <t>4602</t>
  </si>
  <si>
    <t>DOCE DE LEITE</t>
  </si>
  <si>
    <t>1528</t>
  </si>
  <si>
    <t>DOPPIO MACCHIATO</t>
  </si>
  <si>
    <t>4046</t>
  </si>
  <si>
    <t>DOUBLE RED VELVET NEGRONI</t>
  </si>
  <si>
    <t>6448</t>
  </si>
  <si>
    <t>6447</t>
  </si>
  <si>
    <t>6422</t>
  </si>
  <si>
    <t>6423</t>
  </si>
  <si>
    <t>6420</t>
  </si>
  <si>
    <t>DOUBLE THE OFFSPRING PILSEN</t>
  </si>
  <si>
    <t>6421</t>
  </si>
  <si>
    <t>DRINK PERSONALIZADO - TAP</t>
  </si>
  <si>
    <t>3776</t>
  </si>
  <si>
    <t>DUPLA PRIME RIB BASTARDS (2 A 3 PESSOAS)</t>
  </si>
  <si>
    <t>5783</t>
  </si>
  <si>
    <t>Desentupidor De Pia</t>
  </si>
  <si>
    <t>1955</t>
  </si>
  <si>
    <t>Desincrustante</t>
  </si>
  <si>
    <t>1956</t>
  </si>
  <si>
    <t>Desinfetante</t>
  </si>
  <si>
    <t>1957</t>
  </si>
  <si>
    <t>Desinfetante 5 Litros Lavanda Quimibel - Duvali</t>
  </si>
  <si>
    <t>1958</t>
  </si>
  <si>
    <t>Desinfetante 5L Floral Gold Audax</t>
  </si>
  <si>
    <t>1959</t>
  </si>
  <si>
    <t>Desinfetante 5L Lavanda Gold Audax</t>
  </si>
  <si>
    <t>1960</t>
  </si>
  <si>
    <t>Desinfetante Lavanda - Quimibel - 5 L</t>
  </si>
  <si>
    <t>1962</t>
  </si>
  <si>
    <t>Desinfetante Lavanda Butterfly Audax 5L</t>
  </si>
  <si>
    <t>1963</t>
  </si>
  <si>
    <t>Detergente 5L Neutro Limpol</t>
  </si>
  <si>
    <t>1965</t>
  </si>
  <si>
    <t>Detergente 5L Neutro Ype</t>
  </si>
  <si>
    <t>1966</t>
  </si>
  <si>
    <t>Detergente Para Maquinas 5L</t>
  </si>
  <si>
    <t>1967</t>
  </si>
  <si>
    <t>Detergente Para Maquinas Click Limp 5L</t>
  </si>
  <si>
    <t>1968</t>
  </si>
  <si>
    <t>Detergente Para Maquinas Clicklimp 5L</t>
  </si>
  <si>
    <t>1969</t>
  </si>
  <si>
    <t>Detergente Ype Clear 24-500Ml</t>
  </si>
  <si>
    <t>1970</t>
  </si>
  <si>
    <t>Dispenser Interfolha Prem Invoq Preto Un</t>
  </si>
  <si>
    <t>1971</t>
  </si>
  <si>
    <t>Dispenser Interfolha Premi Invoq Un</t>
  </si>
  <si>
    <t>1972</t>
  </si>
  <si>
    <t>Dispenser Kai Kai Premis Invoq Bco Un</t>
  </si>
  <si>
    <t>1973</t>
  </si>
  <si>
    <t>Django Cigano - Barril 30L</t>
  </si>
  <si>
    <t>1315</t>
  </si>
  <si>
    <t>Dosador Inox 30-50Ml C- Marcacao Lgdk7 - Diversos Le Galo</t>
  </si>
  <si>
    <t>1531</t>
  </si>
  <si>
    <t>EMBALAGEM PLASTICA ORIENTAL - ESTOQUE TAP</t>
  </si>
  <si>
    <t>910</t>
  </si>
  <si>
    <t>5923</t>
  </si>
  <si>
    <t>5926</t>
  </si>
  <si>
    <t>5925</t>
  </si>
  <si>
    <t>5927</t>
  </si>
  <si>
    <t>5924</t>
  </si>
  <si>
    <t>EMPANADA DE CAPRESE</t>
  </si>
  <si>
    <t>6194</t>
  </si>
  <si>
    <t>6176</t>
  </si>
  <si>
    <t>EMPANADA DE CARNE</t>
  </si>
  <si>
    <t>186</t>
  </si>
  <si>
    <t>5621</t>
  </si>
  <si>
    <t>6175</t>
  </si>
  <si>
    <t>EMPANADA DE PARRILLERA</t>
  </si>
  <si>
    <t>6311</t>
  </si>
  <si>
    <t>6312</t>
  </si>
  <si>
    <t>EMPANADA DE QUEIJO COM CEBOLA</t>
  </si>
  <si>
    <t>187</t>
  </si>
  <si>
    <t>5622</t>
  </si>
  <si>
    <t>EMPANAMENTO PARA CROQUETE DE COSTELA</t>
  </si>
  <si>
    <t>5190</t>
  </si>
  <si>
    <t>3505</t>
  </si>
  <si>
    <t>ENERGETICO MONSTER 269ML - ESTOQUE TAP</t>
  </si>
  <si>
    <t>53886108</t>
  </si>
  <si>
    <t>ENERGETICO RED BULL LATA - ESTOQUE TAP</t>
  </si>
  <si>
    <t>207</t>
  </si>
  <si>
    <t>3292</t>
  </si>
  <si>
    <t>4828</t>
  </si>
  <si>
    <t>4829</t>
  </si>
  <si>
    <t>4827</t>
  </si>
  <si>
    <t>ERVILHA KG</t>
  </si>
  <si>
    <t>1533</t>
  </si>
  <si>
    <t>ESCOVA LAVA GARRAFA</t>
  </si>
  <si>
    <t>1010</t>
  </si>
  <si>
    <t>ESCOVA PLASTICA</t>
  </si>
  <si>
    <t>1036</t>
  </si>
  <si>
    <t>ESCUMADEIRA</t>
  </si>
  <si>
    <t>1535</t>
  </si>
  <si>
    <t>ESPANADOR LIMPEZA</t>
  </si>
  <si>
    <t>3830</t>
  </si>
  <si>
    <t>1536</t>
  </si>
  <si>
    <t>1975</t>
  </si>
  <si>
    <t>ESPREMEDOR DE LIMAO - ESTOQUE TAP</t>
  </si>
  <si>
    <t>5716</t>
  </si>
  <si>
    <t>36</t>
  </si>
  <si>
    <t>5246</t>
  </si>
  <si>
    <t>ESPRESSO COM LEITE</t>
  </si>
  <si>
    <t>33</t>
  </si>
  <si>
    <t>ESPRESSO DUPLO</t>
  </si>
  <si>
    <t>4043</t>
  </si>
  <si>
    <t>ESPRESSO MARTINI</t>
  </si>
  <si>
    <t>2910</t>
  </si>
  <si>
    <t>ESPRESSO TONICA TANGERINA</t>
  </si>
  <si>
    <t>4053</t>
  </si>
  <si>
    <t>ESPUMA DE GENGIBRE - ESTOQUE TAP</t>
  </si>
  <si>
    <t>2827</t>
  </si>
  <si>
    <t>ESPUMANTE AMITIE BRUT BRASIL - TAP</t>
  </si>
  <si>
    <t>T - PRODUTOS INTERMEDIARIOS - T - VINHOS</t>
  </si>
  <si>
    <t>6615</t>
  </si>
  <si>
    <t>6617</t>
  </si>
  <si>
    <t>ESPUMANTE AMITIE MOSCATEL ROSE BRASIL - TAP</t>
  </si>
  <si>
    <t>6616</t>
  </si>
  <si>
    <t>ESPUMANTE BRUT - ESTOQUE TAP</t>
  </si>
  <si>
    <t>1019</t>
  </si>
  <si>
    <t>5506</t>
  </si>
  <si>
    <t>ESPUMANTE SALTON BRANCO ZERO ALCOOL - ESTOQUE TAP</t>
  </si>
  <si>
    <t>5928</t>
  </si>
  <si>
    <t>ESPUMANTE SALTON DEMI SEC - ESTOQUE TAP</t>
  </si>
  <si>
    <t>5224</t>
  </si>
  <si>
    <t>ESPUMANTE SALTON MOSCATEL - BONIFICADO</t>
  </si>
  <si>
    <t>3686</t>
  </si>
  <si>
    <t>5929</t>
  </si>
  <si>
    <t>ESSENCIA BAUNILHA - ESTOQUE TAP</t>
  </si>
  <si>
    <t>2692</t>
  </si>
  <si>
    <t>1077</t>
  </si>
  <si>
    <t>ETIQUETA LACRE</t>
  </si>
  <si>
    <t>1711</t>
  </si>
  <si>
    <t>EVENTO MIX 16/12/24</t>
  </si>
  <si>
    <t>4096</t>
  </si>
  <si>
    <t>EXTRATO TOMATE - ESTOQUE</t>
  </si>
  <si>
    <t>1548</t>
  </si>
  <si>
    <t>Erva Doce Kg</t>
  </si>
  <si>
    <t>1545</t>
  </si>
  <si>
    <t>Escova Aco</t>
  </si>
  <si>
    <t>1534</t>
  </si>
  <si>
    <t>Esp Cinzano Pro Spritz 750Ml</t>
  </si>
  <si>
    <t>1017</t>
  </si>
  <si>
    <t>Espumadeira N 5  Aluminio - Aluminio Real</t>
  </si>
  <si>
    <t>1537</t>
  </si>
  <si>
    <t>FACAS</t>
  </si>
  <si>
    <t>1543</t>
  </si>
  <si>
    <t>FACAS BAR - ESTOQUE TAP</t>
  </si>
  <si>
    <t>4512</t>
  </si>
  <si>
    <t>FARINHA DE MANDIOCA - ESTOQUE TAP</t>
  </si>
  <si>
    <t>2751</t>
  </si>
  <si>
    <t>FARINHA PANKO</t>
  </si>
  <si>
    <t>1546</t>
  </si>
  <si>
    <t>FARINHA PREPARADA PARA EMPANAMENTO DE  PEIXE</t>
  </si>
  <si>
    <t>5115</t>
  </si>
  <si>
    <t>FARINHA ROSCA</t>
  </si>
  <si>
    <t>1555</t>
  </si>
  <si>
    <t>FARINHA TRIGO - ESTOQUE TAP</t>
  </si>
  <si>
    <t>1556</t>
  </si>
  <si>
    <t>FAROFA DA CASA - INSUMOS TAP</t>
  </si>
  <si>
    <t>1553</t>
  </si>
  <si>
    <t>FAROFA DE ALHO</t>
  </si>
  <si>
    <t>1001</t>
  </si>
  <si>
    <t>FAROFA DE ALHO (2 PESSOAS)</t>
  </si>
  <si>
    <t>5786</t>
  </si>
  <si>
    <t>6017</t>
  </si>
  <si>
    <t>FECULA DE BATATA - ESTOQUE TAP</t>
  </si>
  <si>
    <t>1406</t>
  </si>
  <si>
    <t>FEIJAO CARIOCA</t>
  </si>
  <si>
    <t>1565</t>
  </si>
  <si>
    <t>FEIJAO DA CASA</t>
  </si>
  <si>
    <t>1002</t>
  </si>
  <si>
    <t>FEIJAO PRETO - ESTOQUE TAP</t>
  </si>
  <si>
    <t>2749</t>
  </si>
  <si>
    <t>FERMENTO BIOLOGICO</t>
  </si>
  <si>
    <t>1559</t>
  </si>
  <si>
    <t>FERMENTO QUIMICO - ESTOQUE TAP</t>
  </si>
  <si>
    <t>1560</t>
  </si>
  <si>
    <t>FERNET BRANCA - DOSE</t>
  </si>
  <si>
    <t>58</t>
  </si>
  <si>
    <t>FERNET BRANCA - ESTOQUE TAP</t>
  </si>
  <si>
    <t>1020</t>
  </si>
  <si>
    <t>2956</t>
  </si>
  <si>
    <t>FESTIVAL PARMEGIANA MIGNON</t>
  </si>
  <si>
    <t>2954</t>
  </si>
  <si>
    <t>FIBRA P/ LIMPEZA</t>
  </si>
  <si>
    <t>1979</t>
  </si>
  <si>
    <t>4523</t>
  </si>
  <si>
    <t>FILE A CAVALO</t>
  </si>
  <si>
    <t>4</t>
  </si>
  <si>
    <t>5919</t>
  </si>
  <si>
    <t>FILE DE COXA COM PELE - ESTOQUE TAP</t>
  </si>
  <si>
    <t>5810</t>
  </si>
  <si>
    <t>6775</t>
  </si>
  <si>
    <t>5921</t>
  </si>
  <si>
    <t>FILME PVC</t>
  </si>
  <si>
    <t>913</t>
  </si>
  <si>
    <t>FILME PVC ESTICAVEL - ESTOQUE TAP</t>
  </si>
  <si>
    <t>53886070</t>
  </si>
  <si>
    <t>FILME STRETCH</t>
  </si>
  <si>
    <t>1833</t>
  </si>
  <si>
    <t>FILTRO CAFÉ PAPEL 103 - ESTOQUE TAP</t>
  </si>
  <si>
    <t>1568</t>
  </si>
  <si>
    <t>907</t>
  </si>
  <si>
    <t>5080</t>
  </si>
  <si>
    <t>FIREBALL LEMONADE - FESTA DO CANIL</t>
  </si>
  <si>
    <t>5476</t>
  </si>
  <si>
    <t>FIREBALL TROPICAL</t>
  </si>
  <si>
    <t>132</t>
  </si>
  <si>
    <t>FISH AND CHIPS</t>
  </si>
  <si>
    <t>173</t>
  </si>
  <si>
    <t>FITA ADESIVA TRANSPARENTE</t>
  </si>
  <si>
    <t>983</t>
  </si>
  <si>
    <t>FITA CREPE</t>
  </si>
  <si>
    <t>901</t>
  </si>
  <si>
    <t>FITA DUPLA FACE - ESTOQUE TAP</t>
  </si>
  <si>
    <t>5715</t>
  </si>
  <si>
    <t>FITA XADREZ - ESTOQUE TAP</t>
  </si>
  <si>
    <t>5262</t>
  </si>
  <si>
    <t>FLOCOS DE MILHO NATURAL - ESTOQUE TAP</t>
  </si>
  <si>
    <t>1836</t>
  </si>
  <si>
    <t>FLOR COMESTIVEL - ESTOQUE TAP</t>
  </si>
  <si>
    <t>6790</t>
  </si>
  <si>
    <t>FLOR DE SAL - ESTOQUE TAP</t>
  </si>
  <si>
    <t>2723</t>
  </si>
  <si>
    <t>4919</t>
  </si>
  <si>
    <t>FOUR PACK LATA - TAP</t>
  </si>
  <si>
    <t>6015</t>
  </si>
  <si>
    <t>4173</t>
  </si>
  <si>
    <t>FRAMBOESA CONGELADA - ESTOQUE TAP</t>
  </si>
  <si>
    <t>4361</t>
  </si>
  <si>
    <t>FRANGO CAJUN</t>
  </si>
  <si>
    <t>174</t>
  </si>
  <si>
    <t>5263</t>
  </si>
  <si>
    <t>FRIGIDEIRA</t>
  </si>
  <si>
    <t>272</t>
  </si>
  <si>
    <t>2737</t>
  </si>
  <si>
    <t>FRUTA GRAPE FRUIT TORANJA - ESTOQUE TAP</t>
  </si>
  <si>
    <t>1893</t>
  </si>
  <si>
    <t>FUBA AMARELO - ESTOQUE</t>
  </si>
  <si>
    <t>1584</t>
  </si>
  <si>
    <t>Faca De Legumes 4 Cabo Branco Premium -  Tramontina</t>
  </si>
  <si>
    <t>1541</t>
  </si>
  <si>
    <t>Faca De Madeira 4Cm Ref. 5952 C-2</t>
  </si>
  <si>
    <t>1542</t>
  </si>
  <si>
    <t>Fgo Coxinha Da Asa aprox 1 Kg Cg Pioneiro</t>
  </si>
  <si>
    <t>1576</t>
  </si>
  <si>
    <t>Focaccia</t>
  </si>
  <si>
    <t>1570</t>
  </si>
  <si>
    <t>Frigideira 4 Ovos - Teflon Multiflon</t>
  </si>
  <si>
    <t>1573</t>
  </si>
  <si>
    <t>GALHETEIRO - ESTOQUE TAP</t>
  </si>
  <si>
    <t>4207</t>
  </si>
  <si>
    <t>GARFINHO DE BAMBU - ESTOQUE TAP</t>
  </si>
  <si>
    <t>6169</t>
  </si>
  <si>
    <t>GARFO BAR - ESTOQUE TAP</t>
  </si>
  <si>
    <t>4510</t>
  </si>
  <si>
    <t>6002</t>
  </si>
  <si>
    <t>GARRAFA INSUMO (PLASTICO) - ESTOQUE TAP</t>
  </si>
  <si>
    <t>5612</t>
  </si>
  <si>
    <t>GARRAFA TERMICA</t>
  </si>
  <si>
    <t>53886099</t>
  </si>
  <si>
    <t>GARRAFA VIDRO</t>
  </si>
  <si>
    <t>2521</t>
  </si>
  <si>
    <t>6601</t>
  </si>
  <si>
    <t>6613</t>
  </si>
  <si>
    <t>GARRAFA VINHO HERENCIA ROSE ESPANHA - TAP</t>
  </si>
  <si>
    <t>6614</t>
  </si>
  <si>
    <t>GARRAFA VINHO HIGHWAY TO HELL MONASTREL ORGANIC ESPANHA - TA</t>
  </si>
  <si>
    <t>6600</t>
  </si>
  <si>
    <t>GARRAFA VINHO LIGHT MY FIRE GARNACHA TINTURERA ESPANHA - TAP</t>
  </si>
  <si>
    <t>6603</t>
  </si>
  <si>
    <t>GARRAFA VINHO OMM TANNAT URUGUAI - TAP</t>
  </si>
  <si>
    <t>6611</t>
  </si>
  <si>
    <t>6597</t>
  </si>
  <si>
    <t>6596</t>
  </si>
  <si>
    <t>GARRAFA VINHO POTRE ROSE ARGENTINA - TAP</t>
  </si>
  <si>
    <t>6598</t>
  </si>
  <si>
    <t>6612</t>
  </si>
  <si>
    <t>GARRAFA VINHO SUTIL MALBEC RESERVADO ARGENTINA - TAP</t>
  </si>
  <si>
    <t>6595</t>
  </si>
  <si>
    <t>GARRAFA VINHO SYMPATHY FOR THE DEVIL SAUVIGNON BLANC ESPANHA</t>
  </si>
  <si>
    <t>6604</t>
  </si>
  <si>
    <t>6602</t>
  </si>
  <si>
    <t>4208</t>
  </si>
  <si>
    <t>GAVETA DE PINOS LAVA PRATOS</t>
  </si>
  <si>
    <t>1243</t>
  </si>
  <si>
    <t>GELADO DA BARISTA</t>
  </si>
  <si>
    <t>4048</t>
  </si>
  <si>
    <t>5718</t>
  </si>
  <si>
    <t>GELATO BASTARDO DE BAUNILHA</t>
  </si>
  <si>
    <t>3506</t>
  </si>
  <si>
    <t>GELATO BASTARDO DE CHOCOLATE</t>
  </si>
  <si>
    <t>3507</t>
  </si>
  <si>
    <t>GELEIA DE BACON - ESTOQUE TAP</t>
  </si>
  <si>
    <t>2510</t>
  </si>
  <si>
    <t>GELEIA DE FRUTAS VERMELHAS - ESTOQUE TAP</t>
  </si>
  <si>
    <t>1583</t>
  </si>
  <si>
    <t>GELO COLLINS - ESTOQUE TAP</t>
  </si>
  <si>
    <t>748</t>
  </si>
  <si>
    <t>GELO COMUM - ESTOQUE TAP</t>
  </si>
  <si>
    <t>1076</t>
  </si>
  <si>
    <t>4893</t>
  </si>
  <si>
    <t>4894</t>
  </si>
  <si>
    <t>GENGIBRE - ESTOQUE TAP</t>
  </si>
  <si>
    <t>1600</t>
  </si>
  <si>
    <t>5606</t>
  </si>
  <si>
    <t>GENGIBRE GLACEADO IMPORTADO - ESTOQUE TAP</t>
  </si>
  <si>
    <t>4814</t>
  </si>
  <si>
    <t>GET BASTARDS - FESTA DO CANIL</t>
  </si>
  <si>
    <t>5477</t>
  </si>
  <si>
    <t>GIN BASTARDO - ESTOQUE TAP</t>
  </si>
  <si>
    <t>3040</t>
  </si>
  <si>
    <t>GIN BASTARDO TAP</t>
  </si>
  <si>
    <t>101364</t>
  </si>
  <si>
    <t>GIN BRASIL SMASH - TAP</t>
  </si>
  <si>
    <t>3771</t>
  </si>
  <si>
    <t>GIN BSTRD TERCA OFF</t>
  </si>
  <si>
    <t>4902</t>
  </si>
  <si>
    <t>GIN DAMASCO E GENGIBRE</t>
  </si>
  <si>
    <t>135</t>
  </si>
  <si>
    <t>GIN DAMASCO E GENGIBRE BASTARDS - ESTOQUE</t>
  </si>
  <si>
    <t>986</t>
  </si>
  <si>
    <t>GIN DE AMORA BASTARDS - ESTOQUE</t>
  </si>
  <si>
    <t>998</t>
  </si>
  <si>
    <t>GIN FRUTAS VERMELHAS INSUMO -TAP</t>
  </si>
  <si>
    <t>5553</t>
  </si>
  <si>
    <t>GIN GORDONS - ESTOQUE TAP</t>
  </si>
  <si>
    <t>51</t>
  </si>
  <si>
    <t>GIN HAMBRE 1000ML  ESTOQUE TAP</t>
  </si>
  <si>
    <t>3799</t>
  </si>
  <si>
    <t>GIN TANQUERAY - ESTOQUE TAP</t>
  </si>
  <si>
    <t>1026</t>
  </si>
  <si>
    <t>GIN TANQUERAY N10 - DOSE</t>
  </si>
  <si>
    <t>63</t>
  </si>
  <si>
    <t>5581</t>
  </si>
  <si>
    <t>GIN TANQUERAY- DOSE</t>
  </si>
  <si>
    <t>62</t>
  </si>
  <si>
    <t>GIN TONICA BSTRD</t>
  </si>
  <si>
    <t>4062</t>
  </si>
  <si>
    <t>GIN TONICA CLASSICO</t>
  </si>
  <si>
    <t>137</t>
  </si>
  <si>
    <t>GODFATHER</t>
  </si>
  <si>
    <t>140</t>
  </si>
  <si>
    <t>4375</t>
  </si>
  <si>
    <t>GOLDEN DAYS -300ML</t>
  </si>
  <si>
    <t>4376</t>
  </si>
  <si>
    <t>GRAMPEADOR</t>
  </si>
  <si>
    <t>914</t>
  </si>
  <si>
    <t>1899</t>
  </si>
  <si>
    <t>GRANOLA - ESTOQUE TAP</t>
  </si>
  <si>
    <t>2514</t>
  </si>
  <si>
    <t>GRINGO</t>
  </si>
  <si>
    <t>289</t>
  </si>
  <si>
    <t>GUARDANAPO</t>
  </si>
  <si>
    <t>144</t>
  </si>
  <si>
    <t>Garfo Forte Preto Gsp-543 C-50</t>
  </si>
  <si>
    <t>1579</t>
  </si>
  <si>
    <t>Garfo Inox P- Assado 25Cm - Importado Lyor</t>
  </si>
  <si>
    <t>1580</t>
  </si>
  <si>
    <t>Garfo Sobremesa Br</t>
  </si>
  <si>
    <t>1581</t>
  </si>
  <si>
    <t>Garrafa Termica Expressar Br Sanrem</t>
  </si>
  <si>
    <t>1582</t>
  </si>
  <si>
    <t>Garrote Double Ipa Chope - Barril 30L</t>
  </si>
  <si>
    <t>1316</t>
  </si>
  <si>
    <t>Gergelim Branco</t>
  </si>
  <si>
    <t>1897</t>
  </si>
  <si>
    <t>Gergelim Preto</t>
  </si>
  <si>
    <t>1898</t>
  </si>
  <si>
    <t>Gin Beefeater 750Ml</t>
  </si>
  <si>
    <t>1021</t>
  </si>
  <si>
    <t>Gin Nib Ink 000Ml</t>
  </si>
  <si>
    <t>1024</t>
  </si>
  <si>
    <t>Gin Plymouth- 750Ml</t>
  </si>
  <si>
    <t>1025</t>
  </si>
  <si>
    <t>Glp Granel - Ptp</t>
  </si>
  <si>
    <t>1261</t>
  </si>
  <si>
    <t>Grao De Bico Kg</t>
  </si>
  <si>
    <t>1602</t>
  </si>
  <si>
    <t>HAMBURGUER 180G</t>
  </si>
  <si>
    <t>1421</t>
  </si>
  <si>
    <t>HAMBURGUER 50G</t>
  </si>
  <si>
    <t>5458</t>
  </si>
  <si>
    <t>HAMBURGUER DE PORCO</t>
  </si>
  <si>
    <t>5456</t>
  </si>
  <si>
    <t>HAMBURGUER FUNCIONARIOS</t>
  </si>
  <si>
    <t>1586</t>
  </si>
  <si>
    <t>1064</t>
  </si>
  <si>
    <t>1071</t>
  </si>
  <si>
    <t>HEIMAT</t>
  </si>
  <si>
    <t>5072</t>
  </si>
  <si>
    <t>HIBISCO FLOR - ESTOQUE TAP</t>
  </si>
  <si>
    <t>1470</t>
  </si>
  <si>
    <t>HORTELA - ESTOQUE TAP</t>
  </si>
  <si>
    <t>1587</t>
  </si>
  <si>
    <t>ICED LATTE</t>
  </si>
  <si>
    <t>4051</t>
  </si>
  <si>
    <t>ICY BREEZE</t>
  </si>
  <si>
    <t>4359</t>
  </si>
  <si>
    <t>2493</t>
  </si>
  <si>
    <t>1915</t>
  </si>
  <si>
    <t>IMPRESSOES GERAIS - PLACA BANNER...</t>
  </si>
  <si>
    <t>267</t>
  </si>
  <si>
    <t>INHAME - ESTOQUE TAP</t>
  </si>
  <si>
    <t>5546</t>
  </si>
  <si>
    <t>INSETICIDA - ESTOQUE TAP</t>
  </si>
  <si>
    <t>4654</t>
  </si>
  <si>
    <t>IOGURTE DE COCO BASTARDS - ESTOQUE</t>
  </si>
  <si>
    <t>985</t>
  </si>
  <si>
    <t>IOGURTE NATURAL - ESTOQUE TAP</t>
  </si>
  <si>
    <t>1902</t>
  </si>
  <si>
    <t>6168</t>
  </si>
  <si>
    <t>ITS COU LATA 473ML</t>
  </si>
  <si>
    <t>334</t>
  </si>
  <si>
    <t>Ingredientes P Feijoada 800G-</t>
  </si>
  <si>
    <t>1588</t>
  </si>
  <si>
    <t>Italiano</t>
  </si>
  <si>
    <t>1590</t>
  </si>
  <si>
    <t>Its Cou Chope - Estoque</t>
  </si>
  <si>
    <t>1319</t>
  </si>
  <si>
    <t>5864</t>
  </si>
  <si>
    <t>JACK LEMONADE</t>
  </si>
  <si>
    <t>1263</t>
  </si>
  <si>
    <t>JACK N COKE</t>
  </si>
  <si>
    <t>5475</t>
  </si>
  <si>
    <t>5474</t>
  </si>
  <si>
    <t>JAGER SUBMARINO</t>
  </si>
  <si>
    <t>6765</t>
  </si>
  <si>
    <t>JAGERMEISTER - DOSE</t>
  </si>
  <si>
    <t>64</t>
  </si>
  <si>
    <t>3462</t>
  </si>
  <si>
    <t>3153</t>
  </si>
  <si>
    <t>JAMBUNAÍMA</t>
  </si>
  <si>
    <t>3378</t>
  </si>
  <si>
    <t>JAQUETA CORTA VENTO - PTO E BCO (G)</t>
  </si>
  <si>
    <t>624</t>
  </si>
  <si>
    <t>JAQUETA CORTA VENTO - PTO E BCO (GG)</t>
  </si>
  <si>
    <t>625</t>
  </si>
  <si>
    <t>JAQUETA CORTA VENTO - PTO E BCO (M)</t>
  </si>
  <si>
    <t>623</t>
  </si>
  <si>
    <t>JAQUETA CORTA VENTO - PTO E BCO (P)</t>
  </si>
  <si>
    <t>622</t>
  </si>
  <si>
    <t>JAQUETA CORTA VENTO - PTO E BCO (XG)</t>
  </si>
  <si>
    <t>626</t>
  </si>
  <si>
    <t>JAQUETA CORTA VENTO - PTO E BCO (XXG)</t>
  </si>
  <si>
    <t>627</t>
  </si>
  <si>
    <t>1591</t>
  </si>
  <si>
    <t>JARRA DE CHOPE</t>
  </si>
  <si>
    <t>191</t>
  </si>
  <si>
    <t>JOSE CUERVO ESPECIAL GOLD - DOSE</t>
  </si>
  <si>
    <t>66</t>
  </si>
  <si>
    <t>JOSE CUERVO ESPECIAL SILVER - DOSE</t>
  </si>
  <si>
    <t>67</t>
  </si>
  <si>
    <t>JOSE CUERVO TRADICIONAL - DOSE</t>
  </si>
  <si>
    <t>68</t>
  </si>
  <si>
    <t>JURAS DE GOIABA</t>
  </si>
  <si>
    <t>1320</t>
  </si>
  <si>
    <t>KETCHUP - ESTOQUE TAP</t>
  </si>
  <si>
    <t>1456</t>
  </si>
  <si>
    <t>KIT CHURRASCO BASTARDO</t>
  </si>
  <si>
    <t>5964</t>
  </si>
  <si>
    <t>KIT COCKTAIL BOX</t>
  </si>
  <si>
    <t>81</t>
  </si>
  <si>
    <t>Kit Entrega</t>
  </si>
  <si>
    <t>1981</t>
  </si>
  <si>
    <t>LAMBRUSCO TESTE BAR</t>
  </si>
  <si>
    <t>4511</t>
  </si>
  <si>
    <t>LARANJA BAHIA - ESTOQUE TAP</t>
  </si>
  <si>
    <t>1594</t>
  </si>
  <si>
    <t>LATA - ANNOYING TORANJITO 473ML</t>
  </si>
  <si>
    <t>291</t>
  </si>
  <si>
    <t>LATA MACUMBA</t>
  </si>
  <si>
    <t>100</t>
  </si>
  <si>
    <t>4123</t>
  </si>
  <si>
    <t>LAVA GARRAFA 700MM - DIELU</t>
  </si>
  <si>
    <t>4154</t>
  </si>
  <si>
    <t>LEGUMES DA CASA</t>
  </si>
  <si>
    <t>1003</t>
  </si>
  <si>
    <t>LEGUMES DA CASA (2 PESSOAS)</t>
  </si>
  <si>
    <t>5787</t>
  </si>
  <si>
    <t>3524</t>
  </si>
  <si>
    <t>LEITE DE COCO - ESTOQUE TAP</t>
  </si>
  <si>
    <t>3017</t>
  </si>
  <si>
    <t>LEITE INTEGRAL - ESTOQUE TAP</t>
  </si>
  <si>
    <t>889</t>
  </si>
  <si>
    <t>1596</t>
  </si>
  <si>
    <t>LEMON PEPPER KG - ESTOQUE TAP</t>
  </si>
  <si>
    <t>1603</t>
  </si>
  <si>
    <t>LICOR 43 - DOSE</t>
  </si>
  <si>
    <t>70</t>
  </si>
  <si>
    <t>LICOR 43 - ESTOQUE TAP</t>
  </si>
  <si>
    <t>1027</t>
  </si>
  <si>
    <t>LICOR AMARETO DEL ORSO - ESTOQUE</t>
  </si>
  <si>
    <t>1008</t>
  </si>
  <si>
    <t>LICOR AME SOUTHERN COMFORT - ESTOQUE TAP</t>
  </si>
  <si>
    <t>2467</t>
  </si>
  <si>
    <t>LICOR BAILEYS - DOSE</t>
  </si>
  <si>
    <t>72</t>
  </si>
  <si>
    <t>LICOR BAILEYS - ESTOQUE</t>
  </si>
  <si>
    <t>1031</t>
  </si>
  <si>
    <t>LICOR BID MELAO ESTOQUE TAP</t>
  </si>
  <si>
    <t>4202</t>
  </si>
  <si>
    <t>LICOR COINTREAU - ESTOQUE</t>
  </si>
  <si>
    <t>1033</t>
  </si>
  <si>
    <t>LICOR CREME DE CAFE KAHLUAI - ESTOQUE TAP</t>
  </si>
  <si>
    <t>1034</t>
  </si>
  <si>
    <t>4897</t>
  </si>
  <si>
    <t>LICOR DRAMBUIE - ESTOQUE</t>
  </si>
  <si>
    <t>1035</t>
  </si>
  <si>
    <t>LICOR JAGERMEISTER - ESTOQUE</t>
  </si>
  <si>
    <t>1039</t>
  </si>
  <si>
    <t>6667</t>
  </si>
  <si>
    <t>LICOR PEACHTREE - ESTOQUE</t>
  </si>
  <si>
    <t>1741</t>
  </si>
  <si>
    <t>LICOR SAINT GERMAIN</t>
  </si>
  <si>
    <t>1041</t>
  </si>
  <si>
    <t>LICOR STOCK CACAU 720ML - ESTOQUE TAP</t>
  </si>
  <si>
    <t>1330</t>
  </si>
  <si>
    <t>6139</t>
  </si>
  <si>
    <t>LICOR STOCK CURACAU BLUE - ESTOQUE</t>
  </si>
  <si>
    <t>1043</t>
  </si>
  <si>
    <t>LICOR WHISKY FIREBALL- DOSE</t>
  </si>
  <si>
    <t>73</t>
  </si>
  <si>
    <t>LIMAO CAIPIRA - ESTOQUE TAP</t>
  </si>
  <si>
    <t>4538</t>
  </si>
  <si>
    <t>LIMAO DESIDRATADO - ESTOQUE TAP</t>
  </si>
  <si>
    <t>4984</t>
  </si>
  <si>
    <t>LIMAO SECO - ESTOQUE TAP</t>
  </si>
  <si>
    <t>53886107</t>
  </si>
  <si>
    <t>LIMAO SICILIANO - TAP</t>
  </si>
  <si>
    <t>1606</t>
  </si>
  <si>
    <t>LIMAO TAHITI</t>
  </si>
  <si>
    <t>1607</t>
  </si>
  <si>
    <t>LIMAO TAHITI DESISDRATADO CHA</t>
  </si>
  <si>
    <t>1904</t>
  </si>
  <si>
    <t>1984</t>
  </si>
  <si>
    <t>LIMPA FORNO</t>
  </si>
  <si>
    <t>1980</t>
  </si>
  <si>
    <t>LIMPADOR MULTIUSO</t>
  </si>
  <si>
    <t>1988</t>
  </si>
  <si>
    <t>LINGUICA BLUMENAU - ESTOQUE TAP</t>
  </si>
  <si>
    <t>1621</t>
  </si>
  <si>
    <t>LINGUICA CAMPEIRA - ESTOQUE TAP</t>
  </si>
  <si>
    <t>4300</t>
  </si>
  <si>
    <t>LINGUICA CASEIRA - ESTOQUE TAP</t>
  </si>
  <si>
    <t>2499</t>
  </si>
  <si>
    <t>LINGUICA KIBE LIBANESA - ESTOQUE TAP</t>
  </si>
  <si>
    <t>2688</t>
  </si>
  <si>
    <t>LINGUICA PERNIL COM PROVOLONE</t>
  </si>
  <si>
    <t>1616</t>
  </si>
  <si>
    <t>LINGUICA SUINA FINA - ESTOQUE TAP</t>
  </si>
  <si>
    <t>1612</t>
  </si>
  <si>
    <t>4301</t>
  </si>
  <si>
    <t>LINGUIÇA PAIO - ESTOQUE TAP</t>
  </si>
  <si>
    <t>2750</t>
  </si>
  <si>
    <t>LIVROS</t>
  </si>
  <si>
    <t>244</t>
  </si>
  <si>
    <t>1990</t>
  </si>
  <si>
    <t>LONDON MULE</t>
  </si>
  <si>
    <t>145</t>
  </si>
  <si>
    <t>LONG ISLAND TONICA</t>
  </si>
  <si>
    <t>1275</t>
  </si>
  <si>
    <t>LOVE GIN</t>
  </si>
  <si>
    <t>146</t>
  </si>
  <si>
    <t>LULA - ESTOQUE</t>
  </si>
  <si>
    <t>2223</t>
  </si>
  <si>
    <t>LUSTRA MOVEIS</t>
  </si>
  <si>
    <t>1032</t>
  </si>
  <si>
    <t>LUVA</t>
  </si>
  <si>
    <t>3055</t>
  </si>
  <si>
    <t>LUVA LATEX</t>
  </si>
  <si>
    <t>1978</t>
  </si>
  <si>
    <t>2005</t>
  </si>
  <si>
    <t>La Aco Assolan 60G</t>
  </si>
  <si>
    <t>1982</t>
  </si>
  <si>
    <t>Lava Loucas Natural Clear 5L Suprema</t>
  </si>
  <si>
    <t>1983</t>
  </si>
  <si>
    <t>Licor Grand Marnier - Rouge- 700Ml</t>
  </si>
  <si>
    <t>1038</t>
  </si>
  <si>
    <t>Licor Kahlua- 750Ml</t>
  </si>
  <si>
    <t>1040</t>
  </si>
  <si>
    <t>Licor Mozart Chocolate Cream 700Ml</t>
  </si>
  <si>
    <t>1903</t>
  </si>
  <si>
    <t>Licor Stock Peach</t>
  </si>
  <si>
    <t>1044</t>
  </si>
  <si>
    <t>Limao Taiti Kg</t>
  </si>
  <si>
    <t>1905</t>
  </si>
  <si>
    <t>Limpa Aluminio 005Lt Deoline</t>
  </si>
  <si>
    <t>1985</t>
  </si>
  <si>
    <t>Limpa Tudo Euro Vermelho Se3Vm B3</t>
  </si>
  <si>
    <t>1986</t>
  </si>
  <si>
    <t>Limpa Vidros 5L Classico Deoline</t>
  </si>
  <si>
    <t>1987</t>
  </si>
  <si>
    <t>Limpador Multiuso Tradicional - Veja - 500 Ml</t>
  </si>
  <si>
    <t>1989</t>
  </si>
  <si>
    <t>Ling S. Seara Kg</t>
  </si>
  <si>
    <t>1609</t>
  </si>
  <si>
    <t>Lingua Bovina Kg</t>
  </si>
  <si>
    <t>1614</t>
  </si>
  <si>
    <t>Lixeira Pedal 50L Kunber Preta</t>
  </si>
  <si>
    <t>1991</t>
  </si>
  <si>
    <t>Lixeira Pedal 5L Jsn Bca P5</t>
  </si>
  <si>
    <t>1992</t>
  </si>
  <si>
    <t>Louro</t>
  </si>
  <si>
    <t>1624</t>
  </si>
  <si>
    <t>Louro Em Po</t>
  </si>
  <si>
    <t>1625</t>
  </si>
  <si>
    <t>MACA FUGI - ESTOQUE TAP</t>
  </si>
  <si>
    <t>2972</t>
  </si>
  <si>
    <t>MACACO VELHO SMASH IPA - 300ML</t>
  </si>
  <si>
    <t>6540</t>
  </si>
  <si>
    <t>6539</t>
  </si>
  <si>
    <t>MACARRAO CARACOL - ESTOQUE TAP</t>
  </si>
  <si>
    <t>1732</t>
  </si>
  <si>
    <t>MACARRAO FETTUCCINE - ESTOQUE TAP</t>
  </si>
  <si>
    <t>1634</t>
  </si>
  <si>
    <t>MACARRAO FETTUCCINE DA CASA</t>
  </si>
  <si>
    <t>1650</t>
  </si>
  <si>
    <t>MACARRAO FUNCIONARIOS - ESTOQUE TAP</t>
  </si>
  <si>
    <t>6792</t>
  </si>
  <si>
    <t>MACCHIATO</t>
  </si>
  <si>
    <t>4045</t>
  </si>
  <si>
    <t>MAIONESE BACONNAISE JUNIOR BAG 1,1KG - ESTOQUE TAP</t>
  </si>
  <si>
    <t>53886097</t>
  </si>
  <si>
    <t>MAIONESE GRILL</t>
  </si>
  <si>
    <t>5219</t>
  </si>
  <si>
    <t>MAIONESE SACHE HEMMER - ESTOQUE TAP</t>
  </si>
  <si>
    <t>53886089</t>
  </si>
  <si>
    <t>4537</t>
  </si>
  <si>
    <t>MANGO Y TANGO</t>
  </si>
  <si>
    <t>6789</t>
  </si>
  <si>
    <t>MANJERICAO - ESTOQUE TAP</t>
  </si>
  <si>
    <t>1641</t>
  </si>
  <si>
    <t>MANJERICAO BASILICO - TAP</t>
  </si>
  <si>
    <t>2973</t>
  </si>
  <si>
    <t>MANJERICOULIS  (SEM ALCOOL)</t>
  </si>
  <si>
    <t>1266</t>
  </si>
  <si>
    <t>MANTEIGA - ESTOQUE TAP</t>
  </si>
  <si>
    <t>1642</t>
  </si>
  <si>
    <t>MAPLE SYRUP - ESTOQUE TAP</t>
  </si>
  <si>
    <t>2498</t>
  </si>
  <si>
    <t>MAQ. AVANT 02 GRUPO SAE - SERIE: 570477</t>
  </si>
  <si>
    <t>4456</t>
  </si>
  <si>
    <t>MARACUJA - ESTOQUE TAP</t>
  </si>
  <si>
    <t>1645</t>
  </si>
  <si>
    <t>MARGARIDA</t>
  </si>
  <si>
    <t>4813</t>
  </si>
  <si>
    <t>6680</t>
  </si>
  <si>
    <t>MARK THE SHADOW LATA - 473ML</t>
  </si>
  <si>
    <t>327</t>
  </si>
  <si>
    <t>MARSHMALLON - ESTOQUE TAP</t>
  </si>
  <si>
    <t>5148</t>
  </si>
  <si>
    <t>3150</t>
  </si>
  <si>
    <t>MARTINI BIANCO - ESTOQUE</t>
  </si>
  <si>
    <t>1062</t>
  </si>
  <si>
    <t>MARTINI EXTRA DRY - ESTOQUE</t>
  </si>
  <si>
    <t>1063</t>
  </si>
  <si>
    <t>MASSA DE PASTEL KG</t>
  </si>
  <si>
    <t>1646</t>
  </si>
  <si>
    <t>MASSA P/ LINGUIÇA BLUMENAU - ESTOQUE TAP</t>
  </si>
  <si>
    <t>4286</t>
  </si>
  <si>
    <t>MASSA PIZZA - ESTOQUE</t>
  </si>
  <si>
    <t>974</t>
  </si>
  <si>
    <t>MASSA PIZZA 7TRAGOS</t>
  </si>
  <si>
    <t>6681</t>
  </si>
  <si>
    <t>MASSA PIZZA NAPOLITANA - ESTOQUE TAP</t>
  </si>
  <si>
    <t>5918</t>
  </si>
  <si>
    <t>MATTE N ROLL  - ESTOQUE</t>
  </si>
  <si>
    <t>1608</t>
  </si>
  <si>
    <t>MATTE N ROLL 300ML</t>
  </si>
  <si>
    <t>1182</t>
  </si>
  <si>
    <t>MATTE N ROLL 400ML</t>
  </si>
  <si>
    <t>1605</t>
  </si>
  <si>
    <t>MAX MALLOW LATA 473ML</t>
  </si>
  <si>
    <t>321</t>
  </si>
  <si>
    <t>231</t>
  </si>
  <si>
    <t>MEDIA LUNA DE DOCE DE LEITE</t>
  </si>
  <si>
    <t>5805</t>
  </si>
  <si>
    <t>MEL FLOR DE LARANJEIRA - ESTOQUE TAP</t>
  </si>
  <si>
    <t>1925</t>
  </si>
  <si>
    <t>5838</t>
  </si>
  <si>
    <t>MELANCIA - ESTOQUE</t>
  </si>
  <si>
    <t>967</t>
  </si>
  <si>
    <t>MELAO - ESTOQUE TAP</t>
  </si>
  <si>
    <t>4459</t>
  </si>
  <si>
    <t>MELTED IGNORANCE BURGER - TAP</t>
  </si>
  <si>
    <t>3087</t>
  </si>
  <si>
    <t>5472</t>
  </si>
  <si>
    <t>MIDEN ZERO ALCOOL 700ML - ESTOQUE TAP</t>
  </si>
  <si>
    <t>5680</t>
  </si>
  <si>
    <t>MILHO DE PIPOCA - ESTOQUE TAP</t>
  </si>
  <si>
    <t>5215</t>
  </si>
  <si>
    <t>MILHO IN NATURA - ESTOQUE TAP</t>
  </si>
  <si>
    <t>5216</t>
  </si>
  <si>
    <t>MIRTILO</t>
  </si>
  <si>
    <t>1909</t>
  </si>
  <si>
    <t>5550</t>
  </si>
  <si>
    <t>MISTURA CO2/NITROGENIO</t>
  </si>
  <si>
    <t>340</t>
  </si>
  <si>
    <t>MISTURA PARA BROWNIE - ESTOQUE TAP</t>
  </si>
  <si>
    <t>3926</t>
  </si>
  <si>
    <t>MIX DE CASTANHAS - ESTOQUE TAP</t>
  </si>
  <si>
    <t>5773</t>
  </si>
  <si>
    <t>MIX DE FOLHAS - ESTOQUE TAP</t>
  </si>
  <si>
    <t>1660</t>
  </si>
  <si>
    <t>4103</t>
  </si>
  <si>
    <t>4104</t>
  </si>
  <si>
    <t>MOCHILINHA TINTA FRESCA - ESTOQUE TAP</t>
  </si>
  <si>
    <t>4999</t>
  </si>
  <si>
    <t>MOINHO ELETRONICO CEADO E37S - Serie: 025021</t>
  </si>
  <si>
    <t>4457</t>
  </si>
  <si>
    <t>3998</t>
  </si>
  <si>
    <t>MOLETOM - CANGURU AMARELO COMPANY G</t>
  </si>
  <si>
    <t>3995</t>
  </si>
  <si>
    <t>MOLETOM - CANGURU AMARELO COMPANY GG</t>
  </si>
  <si>
    <t>3996</t>
  </si>
  <si>
    <t>MOLETOM - CANGURU AMARELO COMPANY M</t>
  </si>
  <si>
    <t>3994</t>
  </si>
  <si>
    <t>MOLETOM - CANGURU AMARELO COMPANY P</t>
  </si>
  <si>
    <t>3993</t>
  </si>
  <si>
    <t>MOLETOM - CANGURU AMARELO COMPANY XG</t>
  </si>
  <si>
    <t>3997</t>
  </si>
  <si>
    <t>MOLETOM - CANGURU PRETO BSRTDS 2XG</t>
  </si>
  <si>
    <t>6502</t>
  </si>
  <si>
    <t>MOLETOM - CANGURU PRETO BSRTDS G</t>
  </si>
  <si>
    <t>6499</t>
  </si>
  <si>
    <t>MOLETOM - CANGURU PRETO BSRTDS GG</t>
  </si>
  <si>
    <t>6500</t>
  </si>
  <si>
    <t>MOLETOM - CANGURU PRETO BSRTDS M</t>
  </si>
  <si>
    <t>6498</t>
  </si>
  <si>
    <t>MOLETOM - CANGURU PRETO BSRTDS P</t>
  </si>
  <si>
    <t>6497</t>
  </si>
  <si>
    <t>MOLETOM - CANGURU PRETO BSRTDS XG</t>
  </si>
  <si>
    <t>6501</t>
  </si>
  <si>
    <t>MOLETOM - CANGURU VERMELHO BSRTDS 2XG</t>
  </si>
  <si>
    <t>6508</t>
  </si>
  <si>
    <t>MOLETOM - CANGURU VERMELHO BSRTDS G</t>
  </si>
  <si>
    <t>6505</t>
  </si>
  <si>
    <t>MOLETOM - CANGURU VERMELHO BSRTDS GG</t>
  </si>
  <si>
    <t>6506</t>
  </si>
  <si>
    <t>MOLETOM - CANGURU VERMELHO BSRTDS M</t>
  </si>
  <si>
    <t>6504</t>
  </si>
  <si>
    <t>MOLETOM - CANGURU VERMELHO BSRTDS P</t>
  </si>
  <si>
    <t>6503</t>
  </si>
  <si>
    <t>MOLETOM - CANGURU VERMELHO BSRTDS XG</t>
  </si>
  <si>
    <t>6507</t>
  </si>
  <si>
    <t>203836</t>
  </si>
  <si>
    <t>203837</t>
  </si>
  <si>
    <t>MOLETOM - CARPE THAT FUCKING DIEM M</t>
  </si>
  <si>
    <t>203835</t>
  </si>
  <si>
    <t>MOLETOM - CARPE THAT FUCKING DIEM P</t>
  </si>
  <si>
    <t>203834</t>
  </si>
  <si>
    <t>203833</t>
  </si>
  <si>
    <t>203838</t>
  </si>
  <si>
    <t>MOLETOM - DOES HE LOOK LIKE A BASTARD? G</t>
  </si>
  <si>
    <t>203842</t>
  </si>
  <si>
    <t>MOLETOM - DOES HE LOOK LIKE A BASTARD? GG</t>
  </si>
  <si>
    <t>203843</t>
  </si>
  <si>
    <t>MOLETOM - DOES HE LOOK LIKE A BASTARD? M</t>
  </si>
  <si>
    <t>203841</t>
  </si>
  <si>
    <t>MOLETOM - DOES HE LOOK LIKE A BASTARD? P</t>
  </si>
  <si>
    <t>203840</t>
  </si>
  <si>
    <t>MOLETOM - DOES HE LOOK LIKE A BASTARD? PP</t>
  </si>
  <si>
    <t>203839</t>
  </si>
  <si>
    <t>MOLETOM - DOES HE LOOK LIKE A BASTARD? XG</t>
  </si>
  <si>
    <t>203844</t>
  </si>
  <si>
    <t>MOLETOM - ZIPER CINZA BSTRDS COMPANY 2XG</t>
  </si>
  <si>
    <t>4011</t>
  </si>
  <si>
    <t>MOLETOM - ZIPER CINZA BSTRDS COMPANY G</t>
  </si>
  <si>
    <t>4009</t>
  </si>
  <si>
    <t>MOLETOM - ZIPER CINZA BSTRDS COMPANY GG</t>
  </si>
  <si>
    <t>4010</t>
  </si>
  <si>
    <t>MOLETOM - ZIPER CINZA BSTRDS COMPANY M</t>
  </si>
  <si>
    <t>4008</t>
  </si>
  <si>
    <t>MOLETOM - ZIPER CINZA BSTRDS COMPANY P</t>
  </si>
  <si>
    <t>3979</t>
  </si>
  <si>
    <t>MOLETOM - ZIPER CINZA BSTRDS COMPANY XG</t>
  </si>
  <si>
    <t>4012</t>
  </si>
  <si>
    <t>203413</t>
  </si>
  <si>
    <t>MOLETOM AMARELO - LOGO GDE G</t>
  </si>
  <si>
    <t>484</t>
  </si>
  <si>
    <t>MOLETOM AMARELO - LOGO GDE GG</t>
  </si>
  <si>
    <t>485</t>
  </si>
  <si>
    <t>MOLETOM AMARELO - LOGO GDE M</t>
  </si>
  <si>
    <t>486</t>
  </si>
  <si>
    <t>MOLETOM AMARELO - LOGO GDE P</t>
  </si>
  <si>
    <t>487</t>
  </si>
  <si>
    <t>MOLETOM AMARELO - LOGO GDE PP</t>
  </si>
  <si>
    <t>488</t>
  </si>
  <si>
    <t>MOLETOM AMARELO - LOGO GDE XG</t>
  </si>
  <si>
    <t>666</t>
  </si>
  <si>
    <t>MOLETOM AMARELO - MANGA PRETA/LOGO GDE G</t>
  </si>
  <si>
    <t>481</t>
  </si>
  <si>
    <t>MOLETOM AMARELO - MANGA PRETA/LOGO GDE GG</t>
  </si>
  <si>
    <t>482</t>
  </si>
  <si>
    <t>MOLETOM AMARELO - MANGA PRETA/LOGO GDE M</t>
  </si>
  <si>
    <t>480</t>
  </si>
  <si>
    <t>MOLETOM AMARELO - MANGA PRETA/LOGO GDE P</t>
  </si>
  <si>
    <t>479</t>
  </si>
  <si>
    <t>MOLETOM AMARELO - MANGA PRETA/LOGO GDE XG</t>
  </si>
  <si>
    <t>483</t>
  </si>
  <si>
    <t>MOLETOM CANGURU INFANTIL- VERMELHO BSTRDS COMPANY (10)</t>
  </si>
  <si>
    <t>203996</t>
  </si>
  <si>
    <t>203995</t>
  </si>
  <si>
    <t>MOLETOM CANGURU INFANTIL- VERMELHO BSTRDS COMPANY (2)</t>
  </si>
  <si>
    <t>203985</t>
  </si>
  <si>
    <t>MOLETOM CANGURU INFANTIL- VERMELHO BSTRDS COMPANY (4)</t>
  </si>
  <si>
    <t>203986</t>
  </si>
  <si>
    <t>MOLETOM CANGURU INFANTIL- VERMELHO BSTRDS COMPANY (6)</t>
  </si>
  <si>
    <t>203987</t>
  </si>
  <si>
    <t>MOLETOM CANGURU INFANTIL- VERMELHO BSTRDS COMPANY (8)</t>
  </si>
  <si>
    <t>203988</t>
  </si>
  <si>
    <t>MOLETOM CANGURU P/ DOG- VERMELHO BSTRDS COMPANY (EGG)</t>
  </si>
  <si>
    <t>4962</t>
  </si>
  <si>
    <t>6541</t>
  </si>
  <si>
    <t>4997</t>
  </si>
  <si>
    <t>MOLETOM CANGURU P/ DOG- VERMELHO BSTRDS COMPANY (G)</t>
  </si>
  <si>
    <t>203991</t>
  </si>
  <si>
    <t>MOLETOM CANGURU P/ DOG- VERMELHO BSTRDS COMPANY (GG)</t>
  </si>
  <si>
    <t>6542</t>
  </si>
  <si>
    <t>6543</t>
  </si>
  <si>
    <t>MOLETOM CANGURU P/ DOG- VERMELHO BSTRDS COMPANY (P)</t>
  </si>
  <si>
    <t>6544</t>
  </si>
  <si>
    <t>4113</t>
  </si>
  <si>
    <t>4110</t>
  </si>
  <si>
    <t>4111</t>
  </si>
  <si>
    <t>4109</t>
  </si>
  <si>
    <t>MOLETOM CANGURU PRETO BSTRDS COMPANY  (P) - ESTOQUE TAP</t>
  </si>
  <si>
    <t>4108</t>
  </si>
  <si>
    <t>MOLETOM CANGURU PRETO BSTRDS COMPANY  (XG) - ESTOQUE TAP</t>
  </si>
  <si>
    <t>4112</t>
  </si>
  <si>
    <t>MOLETOM CANGURU VERDE ESTONADO BSTRDS COMPANY  (2XG)</t>
  </si>
  <si>
    <t>4086</t>
  </si>
  <si>
    <t>MOLETOM CANGURU VERDE ESTONADO BSTRDS COMPANY  (G)</t>
  </si>
  <si>
    <t>4089</t>
  </si>
  <si>
    <t>MOLETOM CANGURU VERDE ESTONADO BSTRDS COMPANY  (GG)</t>
  </si>
  <si>
    <t>4088</t>
  </si>
  <si>
    <t>4090</t>
  </si>
  <si>
    <t>4091</t>
  </si>
  <si>
    <t>4092</t>
  </si>
  <si>
    <t>4087</t>
  </si>
  <si>
    <t>MOLETOM CANGURU VERDE ESTONADO BSTRDS COMPANY (3XG)</t>
  </si>
  <si>
    <t>5020</t>
  </si>
  <si>
    <t>MOLETOM CANGURU VERMELHO BSTRDS COMPANY (2XG)</t>
  </si>
  <si>
    <t>203956</t>
  </si>
  <si>
    <t>203997</t>
  </si>
  <si>
    <t>MOLETOM CANGURU VERMELHO BSTRDS COMPANY (G)</t>
  </si>
  <si>
    <t>203953</t>
  </si>
  <si>
    <t>MOLETOM CANGURU VERMELHO BSTRDS COMPANY (GG)</t>
  </si>
  <si>
    <t>203954</t>
  </si>
  <si>
    <t>MOLETOM CANGURU VERMELHO BSTRDS COMPANY (M)</t>
  </si>
  <si>
    <t>203952</t>
  </si>
  <si>
    <t>MOLETOM CANGURU VERMELHO BSTRDS COMPANY (P)</t>
  </si>
  <si>
    <t>203951</t>
  </si>
  <si>
    <t>MOLETOM CANGURU VERMELHO BSTRDS COMPANY (PP)</t>
  </si>
  <si>
    <t>203950</t>
  </si>
  <si>
    <t>MOLETOM CANGURU VERMELHO BSTRDS COMPANY (XG)</t>
  </si>
  <si>
    <t>203955</t>
  </si>
  <si>
    <t>MOLETOM CARECA AZUL MARINHO BSTRDS COMPANY (2XG)</t>
  </si>
  <si>
    <t>203977</t>
  </si>
  <si>
    <t>MOLETOM CARECA AZUL MARINHO BSTRDS COMPANY (G)</t>
  </si>
  <si>
    <t>203974</t>
  </si>
  <si>
    <t>MOLETOM CARECA AZUL MARINHO BSTRDS COMPANY (GG)</t>
  </si>
  <si>
    <t>203975</t>
  </si>
  <si>
    <t>MOLETOM CARECA AZUL MARINHO BSTRDS COMPANY (M)</t>
  </si>
  <si>
    <t>203973</t>
  </si>
  <si>
    <t>MOLETOM CARECA AZUL MARINHO BSTRDS COMPANY (P)</t>
  </si>
  <si>
    <t>203972</t>
  </si>
  <si>
    <t>MOLETOM CARECA AZUL MARINHO BSTRDS COMPANY (PP)</t>
  </si>
  <si>
    <t>203971</t>
  </si>
  <si>
    <t>MOLETOM CARECA AZUL MARINHO BSTRDS COMPANY (XG)</t>
  </si>
  <si>
    <t>203976</t>
  </si>
  <si>
    <t>MOLETOM CARECA CHUMBO ESTONADO BSTRDS COMPANY (2XG)</t>
  </si>
  <si>
    <t>203984</t>
  </si>
  <si>
    <t>MOLETOM CARECA CHUMBO ESTONADO BSTRDS COMPANY (G)</t>
  </si>
  <si>
    <t>203981</t>
  </si>
  <si>
    <t>MOLETOM CARECA CHUMBO ESTONADO BSTRDS COMPANY (GG)</t>
  </si>
  <si>
    <t>203982</t>
  </si>
  <si>
    <t>MOLETOM CARECA CHUMBO ESTONADO BSTRDS COMPANY (M)</t>
  </si>
  <si>
    <t>203980</t>
  </si>
  <si>
    <t>MOLETOM CARECA CHUMBO ESTONADO BSTRDS COMPANY (P)</t>
  </si>
  <si>
    <t>203979</t>
  </si>
  <si>
    <t>MOLETOM CARECA CHUMBO ESTONADO BSTRDS COMPANY (PP)</t>
  </si>
  <si>
    <t>203978</t>
  </si>
  <si>
    <t>MOLETOM CARECA CHUMBO ESTONADO BSTRDS COMPANY (XG)</t>
  </si>
  <si>
    <t>203983</t>
  </si>
  <si>
    <t>203864</t>
  </si>
  <si>
    <t>MOLETOM CINZA - LOGO GDE (G)</t>
  </si>
  <si>
    <t>466</t>
  </si>
  <si>
    <t>MOLETOM CINZA - LOGO GDE (GG)</t>
  </si>
  <si>
    <t>467</t>
  </si>
  <si>
    <t>MOLETOM CINZA - LOGO GDE (M)</t>
  </si>
  <si>
    <t>465</t>
  </si>
  <si>
    <t>MOLETOM CINZA - LOGO GDE (P)</t>
  </si>
  <si>
    <t>464</t>
  </si>
  <si>
    <t>MOLETOM CINZA - LOGO GDE (PP)</t>
  </si>
  <si>
    <t>361</t>
  </si>
  <si>
    <t>MOLETOM CINZA - LOGO GDE (XG)</t>
  </si>
  <si>
    <t>468</t>
  </si>
  <si>
    <t>MOLETOM CREME - BSTRDS MANGA -  G</t>
  </si>
  <si>
    <t>203848</t>
  </si>
  <si>
    <t>203847</t>
  </si>
  <si>
    <t>203846</t>
  </si>
  <si>
    <t>203845</t>
  </si>
  <si>
    <t>203849</t>
  </si>
  <si>
    <t>203850</t>
  </si>
  <si>
    <t>MOLETOM CROPPED PRETO - BSTRDS MANGA (G)</t>
  </si>
  <si>
    <t>277</t>
  </si>
  <si>
    <t>MOLETOM CROPPED PRETO - BSTRDS MANGA (M)</t>
  </si>
  <si>
    <t>278</t>
  </si>
  <si>
    <t>MOLETOM CROPPED PRETO - BSTRDS MANGA (P)</t>
  </si>
  <si>
    <t>279</t>
  </si>
  <si>
    <t>MOLETOM PRETO - LOGO GDE AMARELA (G)</t>
  </si>
  <si>
    <t>476</t>
  </si>
  <si>
    <t>MOLETOM PRETO - LOGO GDE AMARELA (GG)</t>
  </si>
  <si>
    <t>477</t>
  </si>
  <si>
    <t>MOLETOM PRETO - LOGO GDE AMARELA (M)</t>
  </si>
  <si>
    <t>475</t>
  </si>
  <si>
    <t>MOLETOM PRETO - LOGO GDE AMARELA (P)</t>
  </si>
  <si>
    <t>474</t>
  </si>
  <si>
    <t>MOLETOM PRETO - LOGO GDE AMARELA (PP)</t>
  </si>
  <si>
    <t>362</t>
  </si>
  <si>
    <t>MOLETOM PRETO - LOGO GDE AMARELA (XG)</t>
  </si>
  <si>
    <t>478</t>
  </si>
  <si>
    <t>203862</t>
  </si>
  <si>
    <t>MOLETOM PRETO - LOGO GDE BRANCA (G)</t>
  </si>
  <si>
    <t>261</t>
  </si>
  <si>
    <t>MOLETOM PRETO - LOGO GDE BRANCA (GG)</t>
  </si>
  <si>
    <t>262</t>
  </si>
  <si>
    <t>MOLETOM PRETO - LOGO GDE BRANCA (M)</t>
  </si>
  <si>
    <t>263</t>
  </si>
  <si>
    <t>MOLETOM PRETO - LOGO GDE BRANCA (P)</t>
  </si>
  <si>
    <t>264</t>
  </si>
  <si>
    <t>MOLETOM PRETO - LOGO GDE BRANCA (PP)</t>
  </si>
  <si>
    <t>673</t>
  </si>
  <si>
    <t>MOLETOM PRETO - LOGO GDE BRANCA (XG)</t>
  </si>
  <si>
    <t>265</t>
  </si>
  <si>
    <t>203863</t>
  </si>
  <si>
    <t>MOLETOM PRETO - LOGO VERMELHA (G)</t>
  </si>
  <si>
    <t>667</t>
  </si>
  <si>
    <t>MOLETOM PRETO - LOGO VERMELHA (GG)</t>
  </si>
  <si>
    <t>668</t>
  </si>
  <si>
    <t>MOLETOM PRETO - LOGO VERMELHA (M)</t>
  </si>
  <si>
    <t>669</t>
  </si>
  <si>
    <t>MOLETOM PRETO - LOGO VERMELHA (P)</t>
  </si>
  <si>
    <t>670</t>
  </si>
  <si>
    <t>MOLETOM PRETO - LOGO VERMELHA (PP)</t>
  </si>
  <si>
    <t>671</t>
  </si>
  <si>
    <t>MOLETOM PRETO - LOGO VERMELHA (XG)</t>
  </si>
  <si>
    <t>672</t>
  </si>
  <si>
    <t>MOLETOM PRETO - MANGA AMARELA/LOGO GDE (G)</t>
  </si>
  <si>
    <t>471</t>
  </si>
  <si>
    <t>MOLETOM PRETO - MANGA AMARELA/LOGO GDE (GG)</t>
  </si>
  <si>
    <t>472</t>
  </si>
  <si>
    <t>MOLETOM PRETO - MANGA AMARELA/LOGO GDE (M)</t>
  </si>
  <si>
    <t>470</t>
  </si>
  <si>
    <t>MOLETOM PRETO - MANGA AMARELA/LOGO GDE (P)</t>
  </si>
  <si>
    <t>469</t>
  </si>
  <si>
    <t>MOLETOM PRETO - MANGA AMARELA/LOGO GDE (PP)</t>
  </si>
  <si>
    <t>360</t>
  </si>
  <si>
    <t>MOLETOM PRETO - MANGA AMARELA/LOGO GDE (XG)</t>
  </si>
  <si>
    <t>473</t>
  </si>
  <si>
    <t>MOLETOM PRETO SIMPLES BSTRDS (G)</t>
  </si>
  <si>
    <t>280</t>
  </si>
  <si>
    <t>MOLETOM PRETO SIMPLES BSTRDS (GG)</t>
  </si>
  <si>
    <t>281</t>
  </si>
  <si>
    <t>MOLETOM PRETO SIMPLES BSTRDS (M)</t>
  </si>
  <si>
    <t>282</t>
  </si>
  <si>
    <t>MOLETOM PRETO SIMPLES BSTRDS (P)</t>
  </si>
  <si>
    <t>283</t>
  </si>
  <si>
    <t>2554</t>
  </si>
  <si>
    <t>MOLETOM VERMELHO - LOGO GDE (G)</t>
  </si>
  <si>
    <t>461</t>
  </si>
  <si>
    <t>MOLETOM VERMELHO - LOGO GDE (GG)</t>
  </si>
  <si>
    <t>462</t>
  </si>
  <si>
    <t>MOLETOM VERMELHO - LOGO GDE (M)</t>
  </si>
  <si>
    <t>460</t>
  </si>
  <si>
    <t>MOLETOM VERMELHO - LOGO GDE (P)</t>
  </si>
  <si>
    <t>459</t>
  </si>
  <si>
    <t>MOLETOM VERMELHO - LOGO GDE (PP)</t>
  </si>
  <si>
    <t>359</t>
  </si>
  <si>
    <t>MOLETOM VERMELHO - LOGO GDE (XG)</t>
  </si>
  <si>
    <t>463</t>
  </si>
  <si>
    <t>MOLETOM VERMELHO - LOGO PQNA (G)</t>
  </si>
  <si>
    <t>456</t>
  </si>
  <si>
    <t>MOLETOM VERMELHO - LOGO PQNA (GG)</t>
  </si>
  <si>
    <t>457</t>
  </si>
  <si>
    <t>MOLETOM VERMELHO - LOGO PQNA (M)</t>
  </si>
  <si>
    <t>455</t>
  </si>
  <si>
    <t>MOLETOM VERMELHO - LOGO PQNA (P)</t>
  </si>
  <si>
    <t>454</t>
  </si>
  <si>
    <t>MOLETOM VERMELHO - LOGO PQNA (PP)</t>
  </si>
  <si>
    <t>358</t>
  </si>
  <si>
    <t>MOLETOM VERMELHO - LOGO PQNA (XG)</t>
  </si>
  <si>
    <t>458</t>
  </si>
  <si>
    <t>MOLETOM ZIPER VERDE BSTRDS COMPANY (2XG)</t>
  </si>
  <si>
    <t>203963</t>
  </si>
  <si>
    <t>203964</t>
  </si>
  <si>
    <t>MOLETOM ZIPER VERDE BSTRDS COMPANY (G)</t>
  </si>
  <si>
    <t>203960</t>
  </si>
  <si>
    <t>MOLETOM ZIPER VERDE BSTRDS COMPANY (GG)</t>
  </si>
  <si>
    <t>203961</t>
  </si>
  <si>
    <t>MOLETOM ZIPER VERDE BSTRDS COMPANY (M)</t>
  </si>
  <si>
    <t>203959</t>
  </si>
  <si>
    <t>MOLETOM ZIPER VERDE BSTRDS COMPANY (P)</t>
  </si>
  <si>
    <t>203958</t>
  </si>
  <si>
    <t>MOLETOM ZIPER VERDE BSTRDS COMPANY (PP)</t>
  </si>
  <si>
    <t>203957</t>
  </si>
  <si>
    <t>MOLETOM ZIPER VERDE BSTRDS COMPANY (XG)</t>
  </si>
  <si>
    <t>203962</t>
  </si>
  <si>
    <t>MOLHO BARBECUE</t>
  </si>
  <si>
    <t>1664</t>
  </si>
  <si>
    <t>MOLHO CEASER</t>
  </si>
  <si>
    <t>5764</t>
  </si>
  <si>
    <t>MOLHO CHEDDAR</t>
  </si>
  <si>
    <t>5186</t>
  </si>
  <si>
    <t>MOLHO CHIPOTLE JUNIOR BAG 1,1KG</t>
  </si>
  <si>
    <t>53886081</t>
  </si>
  <si>
    <t>MOLHO DE MOSTARDA DA CASA - TAP</t>
  </si>
  <si>
    <t>2895</t>
  </si>
  <si>
    <t>MOLHO DE PIMENTA SWEET CHILLI</t>
  </si>
  <si>
    <t>6010</t>
  </si>
  <si>
    <t>MOLHO DE STROGONOFF</t>
  </si>
  <si>
    <t>5114</t>
  </si>
  <si>
    <t>MOLHO DE TOMATE - ESTOQUE TAP</t>
  </si>
  <si>
    <t>2059</t>
  </si>
  <si>
    <t>MOLHO GORGONZOLA - INSUMO TAP</t>
  </si>
  <si>
    <t>4187</t>
  </si>
  <si>
    <t>MOLHO INGLES - ESTOQUE</t>
  </si>
  <si>
    <t>1670</t>
  </si>
  <si>
    <t>MOLHO PIMENTA</t>
  </si>
  <si>
    <t>1673</t>
  </si>
  <si>
    <t>MOLHO POMODORO DA CASA - ESTOQUE TAP</t>
  </si>
  <si>
    <t>971</t>
  </si>
  <si>
    <t>MOLHO SWEET CHILLI JUNIOR SACHE 1,1KG - ESTOQUE TAP</t>
  </si>
  <si>
    <t>53886096</t>
  </si>
  <si>
    <t>MOLHO TARTARO  - INSUMOS TAP</t>
  </si>
  <si>
    <t>5336</t>
  </si>
  <si>
    <t>MOP LIMPA VIDROS</t>
  </si>
  <si>
    <t>2980</t>
  </si>
  <si>
    <t>5954</t>
  </si>
  <si>
    <t>MOP SUPORTE - ESTOQUE TAP</t>
  </si>
  <si>
    <t>5953</t>
  </si>
  <si>
    <t>MORANGO - ESTOQUE TAP</t>
  </si>
  <si>
    <t>1675</t>
  </si>
  <si>
    <t>MORTADELA ESPECIAL - ESTOQUE</t>
  </si>
  <si>
    <t>1693</t>
  </si>
  <si>
    <t>MORTADELA FUNCIONARIO - ESTOQUE</t>
  </si>
  <si>
    <t>1124</t>
  </si>
  <si>
    <t>MOSTARDA AMARELA - ESTOQUE TAP</t>
  </si>
  <si>
    <t>1685</t>
  </si>
  <si>
    <t>MOSTARDA AMARELA EM GRAOS - ESTOQUE TAP</t>
  </si>
  <si>
    <t>1680</t>
  </si>
  <si>
    <t>MOSTARDA AMARELA EM PO - ESTOQUE TAP</t>
  </si>
  <si>
    <t>6033</t>
  </si>
  <si>
    <t>MOSTARDA ESCURA - ESTOQUE TAP</t>
  </si>
  <si>
    <t>53886098</t>
  </si>
  <si>
    <t>MOSTARDA ESCURA EM GRAOS - ESTOQUE TAP</t>
  </si>
  <si>
    <t>1683</t>
  </si>
  <si>
    <t>MUSSARELA DE BUFALA - ESTOQUE TAP</t>
  </si>
  <si>
    <t>1689</t>
  </si>
  <si>
    <t>Maca Verde Kg</t>
  </si>
  <si>
    <t>1644</t>
  </si>
  <si>
    <t>Macadamia Sem Sal</t>
  </si>
  <si>
    <t>1631</t>
  </si>
  <si>
    <t>Macho 6 Mm  -4 Furos- - Cortador Dak</t>
  </si>
  <si>
    <t>1636</t>
  </si>
  <si>
    <t>Maionese Da Casa</t>
  </si>
  <si>
    <t>1637</t>
  </si>
  <si>
    <t>Maionese Da Casa (2 PESSOAS)</t>
  </si>
  <si>
    <t>5785</t>
  </si>
  <si>
    <t>Maionese Sriracha</t>
  </si>
  <si>
    <t>1639</t>
  </si>
  <si>
    <t>Maionese de mostarda</t>
  </si>
  <si>
    <t>5175</t>
  </si>
  <si>
    <t>Mandioca</t>
  </si>
  <si>
    <t>1640</t>
  </si>
  <si>
    <t>Mascara Descartavel</t>
  </si>
  <si>
    <t>2006</t>
  </si>
  <si>
    <t>Mascara Descartavel Vabene Preta C-50</t>
  </si>
  <si>
    <t>2007</t>
  </si>
  <si>
    <t>Massa Foccacia</t>
  </si>
  <si>
    <t>1648</t>
  </si>
  <si>
    <t>Mini Pregador Natural 3</t>
  </si>
  <si>
    <t>1657</t>
  </si>
  <si>
    <t>Multiuso 500Ml Veja Original</t>
  </si>
  <si>
    <t>2009</t>
  </si>
  <si>
    <t>Multiuso 750Ml Veja Original</t>
  </si>
  <si>
    <t>2010</t>
  </si>
  <si>
    <t>Musculo Com Osso</t>
  </si>
  <si>
    <t>1686</t>
  </si>
  <si>
    <t>Musculo Cubos</t>
  </si>
  <si>
    <t>1687</t>
  </si>
  <si>
    <t>Musculo Traseiro Sem Osso</t>
  </si>
  <si>
    <t>1688</t>
  </si>
  <si>
    <t>NAFTALINA- ESTOQUE TAP</t>
  </si>
  <si>
    <t>4679</t>
  </si>
  <si>
    <t>NATA - ESTOQUE TAP</t>
  </si>
  <si>
    <t>1690</t>
  </si>
  <si>
    <t>1910</t>
  </si>
  <si>
    <t>NECESSAIRE - CINZA BSTRDS</t>
  </si>
  <si>
    <t>575</t>
  </si>
  <si>
    <t>NEGRONI FIVE ROUNDS</t>
  </si>
  <si>
    <t>149</t>
  </si>
  <si>
    <t>5554</t>
  </si>
  <si>
    <t>NEW YORK SOUR</t>
  </si>
  <si>
    <t>150</t>
  </si>
  <si>
    <t>NOZ MOSCADA - ESTOQUE TAP</t>
  </si>
  <si>
    <t>2887</t>
  </si>
  <si>
    <t>NOZES CHILENAS INTEIRAS MARIPOSA - ESTOQUE TAP</t>
  </si>
  <si>
    <t>1695</t>
  </si>
  <si>
    <t>NUUV HARD TEA - LATA 310ML</t>
  </si>
  <si>
    <t>239</t>
  </si>
  <si>
    <t>Navalha  6 Mm P- Cort Leg M-6-D - Cortador Dak</t>
  </si>
  <si>
    <t>1691</t>
  </si>
  <si>
    <t>Nhoque 2Kg</t>
  </si>
  <si>
    <t>1719</t>
  </si>
  <si>
    <t>O MELHOR TORRESMO DO MUNDO</t>
  </si>
  <si>
    <t>176</t>
  </si>
  <si>
    <t>OCULOS - GERAL</t>
  </si>
  <si>
    <t>579</t>
  </si>
  <si>
    <t>OCULOS DE PROTECAO - ESTOQUE TAP</t>
  </si>
  <si>
    <t>4337</t>
  </si>
  <si>
    <t>OCULOS PERSONALIZADOS - IT'S CÓU</t>
  </si>
  <si>
    <t>812</t>
  </si>
  <si>
    <t>OLD FASHIONED BATCH - INSUMO TAP</t>
  </si>
  <si>
    <t>5962</t>
  </si>
  <si>
    <t>3000</t>
  </si>
  <si>
    <t>OLD SCHOOL DUPLO SMASH</t>
  </si>
  <si>
    <t>6791</t>
  </si>
  <si>
    <t>OLEO ALGODAO - ESTOQUE</t>
  </si>
  <si>
    <t>1696</t>
  </si>
  <si>
    <t>OLEO DE ALGODAO (USADO)</t>
  </si>
  <si>
    <t>5828</t>
  </si>
  <si>
    <t>OLEO DE ALGODAO 15,8 L - ESTOQUE TAP</t>
  </si>
  <si>
    <t>53886106</t>
  </si>
  <si>
    <t>OLEO DE CANOLA - ESTOQUE TAP</t>
  </si>
  <si>
    <t>1702</t>
  </si>
  <si>
    <t>5364</t>
  </si>
  <si>
    <t>OLEO DE SOJA</t>
  </si>
  <si>
    <t>1706</t>
  </si>
  <si>
    <t>OLEO MISTO SOJA/OLIVA - ESTOQUE</t>
  </si>
  <si>
    <t>906</t>
  </si>
  <si>
    <t>OPCOES KIDS - TALHARIM AO MOLHO POMODORO COM CARNE</t>
  </si>
  <si>
    <t>6</t>
  </si>
  <si>
    <t>OPCOES KIDS - TALHARIM AO MOLHO POMODORO COM FRANGO</t>
  </si>
  <si>
    <t>7</t>
  </si>
  <si>
    <t>OPEN APEROL</t>
  </si>
  <si>
    <t>6104</t>
  </si>
  <si>
    <t>5845</t>
  </si>
  <si>
    <t>OREGANO DESIDRATADO - ESTOQUE TAP</t>
  </si>
  <si>
    <t>1708</t>
  </si>
  <si>
    <t>ORGANIZADOR P/ ACESSORIO</t>
  </si>
  <si>
    <t>2647</t>
  </si>
  <si>
    <t>2696</t>
  </si>
  <si>
    <t>OVO - ESTOQUE TAP</t>
  </si>
  <si>
    <t>1712</t>
  </si>
  <si>
    <t>OVO FRITO</t>
  </si>
  <si>
    <t>1004</t>
  </si>
  <si>
    <t>5187</t>
  </si>
  <si>
    <t>Oni Sorachi Chope - Barril 30L</t>
  </si>
  <si>
    <t>1334</t>
  </si>
  <si>
    <t>Osso Serrado</t>
  </si>
  <si>
    <t>1709</t>
  </si>
  <si>
    <t>P.Hig.Indaial F.Dupla 8Rl-200M R-000036</t>
  </si>
  <si>
    <t>2011</t>
  </si>
  <si>
    <t>P.T.Levissimo Premium 6Rl-20Cm-200M 24G-M2</t>
  </si>
  <si>
    <t>2012</t>
  </si>
  <si>
    <t>PA DE LIXO</t>
  </si>
  <si>
    <t>1007</t>
  </si>
  <si>
    <t>PACOCA - INUMOS TAP</t>
  </si>
  <si>
    <t>5222</t>
  </si>
  <si>
    <t>PALITO</t>
  </si>
  <si>
    <t>915</t>
  </si>
  <si>
    <t>PALITO DE PICOLE  - ESTOQUE TAP</t>
  </si>
  <si>
    <t>5217</t>
  </si>
  <si>
    <t>2259</t>
  </si>
  <si>
    <t>PANCAKE OLDIE</t>
  </si>
  <si>
    <t>5961</t>
  </si>
  <si>
    <t>PANELA</t>
  </si>
  <si>
    <t>3197</t>
  </si>
  <si>
    <t>PANNA COTTA PRONTA</t>
  </si>
  <si>
    <t>5743</t>
  </si>
  <si>
    <t>PANO ALVEJADO - ESTOQUE TAP</t>
  </si>
  <si>
    <t>2013</t>
  </si>
  <si>
    <t>PANO DE PRATO - ESTOQUE TAP</t>
  </si>
  <si>
    <t>2015</t>
  </si>
  <si>
    <t>PANO MULTIUSO - T ESTOQUE</t>
  </si>
  <si>
    <t>53886090</t>
  </si>
  <si>
    <t>PANO MULTIUSO- ESTOQUE TAP</t>
  </si>
  <si>
    <t>2019</t>
  </si>
  <si>
    <t>PAO BAGLE - ESTOQUE TAP</t>
  </si>
  <si>
    <t>2505</t>
  </si>
  <si>
    <t>PAO BAGUETE - ESTOQUE TAP</t>
  </si>
  <si>
    <t>1714</t>
  </si>
  <si>
    <t>PAO BRIOCHE - ESTOQUE TAP</t>
  </si>
  <si>
    <t>1715</t>
  </si>
  <si>
    <t>PAO CAMPANHA - ESTOQUE</t>
  </si>
  <si>
    <t>1716</t>
  </si>
  <si>
    <t>PAO CIABATTA - ESTOQUE</t>
  </si>
  <si>
    <t>1717</t>
  </si>
  <si>
    <t>PAO COM BIFE</t>
  </si>
  <si>
    <t>5947</t>
  </si>
  <si>
    <t>3740</t>
  </si>
  <si>
    <t>3085</t>
  </si>
  <si>
    <t>PAO DE FORMA - ESTOQUE</t>
  </si>
  <si>
    <t>1726</t>
  </si>
  <si>
    <t>PAO DE HOTDOG - ESTOQUE TAP</t>
  </si>
  <si>
    <t>5218</t>
  </si>
  <si>
    <t>PAO FERMENTACAO NATURAL - ESTOQUE</t>
  </si>
  <si>
    <t>1720</t>
  </si>
  <si>
    <t>PAO FRANCES - ESTOQUE TAP</t>
  </si>
  <si>
    <t>5212</t>
  </si>
  <si>
    <t>PAO HAMBURGUER - ESTOQUE</t>
  </si>
  <si>
    <t>1728</t>
  </si>
  <si>
    <t>5920</t>
  </si>
  <si>
    <t>PAO ITALIANO - ESTOQUE TAP</t>
  </si>
  <si>
    <t>2508</t>
  </si>
  <si>
    <t>PAO SUPREME - ESTOQUE</t>
  </si>
  <si>
    <t>1725</t>
  </si>
  <si>
    <t>PAPEL ALUMINIO</t>
  </si>
  <si>
    <t>1729</t>
  </si>
  <si>
    <t>PAPEL HIGIENICO</t>
  </si>
  <si>
    <t>1977</t>
  </si>
  <si>
    <t>1877</t>
  </si>
  <si>
    <t>PAPEL OFFSET TAM A4GRAM 120 G4X0COR(ES)</t>
  </si>
  <si>
    <t>266</t>
  </si>
  <si>
    <t>PAPEL TOALHA</t>
  </si>
  <si>
    <t>2026</t>
  </si>
  <si>
    <t>PAPRICA DOCE KG</t>
  </si>
  <si>
    <t>3357</t>
  </si>
  <si>
    <t>PARMEGIANA DE FRANGO COM ARROZ E BATATA</t>
  </si>
  <si>
    <t>6794</t>
  </si>
  <si>
    <t>PARMEGIANA DE FRANGO COM MACARRÃO</t>
  </si>
  <si>
    <t>6793</t>
  </si>
  <si>
    <t>PARMEGIANA DE MIGNON</t>
  </si>
  <si>
    <t>8</t>
  </si>
  <si>
    <t>PARMEGIANA DE MIGNON DUPLO</t>
  </si>
  <si>
    <t>3139</t>
  </si>
  <si>
    <t>PARRILLA BASTARDA (2 A 3 PESSOAS)</t>
  </si>
  <si>
    <t>5789</t>
  </si>
  <si>
    <t>PASSIONE GINGER</t>
  </si>
  <si>
    <t>4357</t>
  </si>
  <si>
    <t>PASSIONE SOUR - ESTOQUE</t>
  </si>
  <si>
    <t>1335</t>
  </si>
  <si>
    <t>PASTEL DE CAMARAO</t>
  </si>
  <si>
    <t>5994</t>
  </si>
  <si>
    <t>PASTEL DE COSTELA</t>
  </si>
  <si>
    <t>5116</t>
  </si>
  <si>
    <t>PASTEL DE LINGUICA</t>
  </si>
  <si>
    <t>5118</t>
  </si>
  <si>
    <t>PASTEL DE QUEIJO</t>
  </si>
  <si>
    <t>5117</t>
  </si>
  <si>
    <t>PASTELITOS</t>
  </si>
  <si>
    <t>177</t>
  </si>
  <si>
    <t>PASTRAMI SUINO - ESTOQUE TAP</t>
  </si>
  <si>
    <t>2511</t>
  </si>
  <si>
    <t>5809</t>
  </si>
  <si>
    <t>5646</t>
  </si>
  <si>
    <t>PEACH SUNRISE</t>
  </si>
  <si>
    <t>2193</t>
  </si>
  <si>
    <t>2260</t>
  </si>
  <si>
    <t>PECAS OMBRELONE</t>
  </si>
  <si>
    <t>968</t>
  </si>
  <si>
    <t>PEDRA SANITARIA</t>
  </si>
  <si>
    <t>923</t>
  </si>
  <si>
    <t>PEGADOR</t>
  </si>
  <si>
    <t>1737</t>
  </si>
  <si>
    <t>PEITO DE PATO - ESTOQUE</t>
  </si>
  <si>
    <t>1740</t>
  </si>
  <si>
    <t>PEIXE DO DIA GRELHADO</t>
  </si>
  <si>
    <t>10</t>
  </si>
  <si>
    <t>PEIXE EMPANADO - INSUMOS TAP</t>
  </si>
  <si>
    <t>5335</t>
  </si>
  <si>
    <t>PEIXE ESTACAO - ESTOQUE</t>
  </si>
  <si>
    <t>1742</t>
  </si>
  <si>
    <t>PEIXE TILAPIA - TAP</t>
  </si>
  <si>
    <t>1396</t>
  </si>
  <si>
    <t>1743</t>
  </si>
  <si>
    <t>PEPINO CONSERVA - ESTOQUE TAP</t>
  </si>
  <si>
    <t>1747</t>
  </si>
  <si>
    <t>PEPINO JAPONES - ESTOQUE</t>
  </si>
  <si>
    <t>1748</t>
  </si>
  <si>
    <t>PESSEGO - ESTOQUE TAP</t>
  </si>
  <si>
    <t>3846</t>
  </si>
  <si>
    <t>PESTO DE MANJERICAO - INSUMOS TAP</t>
  </si>
  <si>
    <t>1752</t>
  </si>
  <si>
    <t>PICADAO BASTARDS - ESTOQUE TAP</t>
  </si>
  <si>
    <t>2987</t>
  </si>
  <si>
    <t>PILHA - T</t>
  </si>
  <si>
    <t>2270</t>
  </si>
  <si>
    <t>PILHA ALCALINA</t>
  </si>
  <si>
    <t>993</t>
  </si>
  <si>
    <t>PIMENTA DEDO DE MOCA</t>
  </si>
  <si>
    <t>1756</t>
  </si>
  <si>
    <t>PIMENTA DO REINO GRAO - ESTOQUE TAP</t>
  </si>
  <si>
    <t>1757</t>
  </si>
  <si>
    <t>PIMENTA DO REINO PO - ESTOQUE</t>
  </si>
  <si>
    <t>1758</t>
  </si>
  <si>
    <t>PIMENTA JALAPENO</t>
  </si>
  <si>
    <t>6013</t>
  </si>
  <si>
    <t>6675</t>
  </si>
  <si>
    <t>PIMENTAO AMARELO - ESTOQUE</t>
  </si>
  <si>
    <t>1760</t>
  </si>
  <si>
    <t>PIMENTAO VERDE - ESTOQUE TAP</t>
  </si>
  <si>
    <t>5777</t>
  </si>
  <si>
    <t>PIMENTAO VERMELHO - ESTOQUE</t>
  </si>
  <si>
    <t>1761</t>
  </si>
  <si>
    <t>5221</t>
  </si>
  <si>
    <t>5479</t>
  </si>
  <si>
    <t>5649</t>
  </si>
  <si>
    <t>5650</t>
  </si>
  <si>
    <t>PINSCHER 01</t>
  </si>
  <si>
    <t>5466</t>
  </si>
  <si>
    <t>3152</t>
  </si>
  <si>
    <t>6138</t>
  </si>
  <si>
    <t>PITAIA - ESTOQUE TAP</t>
  </si>
  <si>
    <t>4181</t>
  </si>
  <si>
    <t>PIZZA DE PARMA</t>
  </si>
  <si>
    <t>972</t>
  </si>
  <si>
    <t>PIZZA DE PARMA TERCA OFF</t>
  </si>
  <si>
    <t>4903</t>
  </si>
  <si>
    <t>PIZZA MARGUERITA</t>
  </si>
  <si>
    <t>2942</t>
  </si>
  <si>
    <t>PIZZA MARGUERITA TERCA OFF</t>
  </si>
  <si>
    <t>4904</t>
  </si>
  <si>
    <t>POISON IVY ( SEM ALCOOL)</t>
  </si>
  <si>
    <t>4350</t>
  </si>
  <si>
    <t>POLENTINA - ESTOQUE TAP</t>
  </si>
  <si>
    <t>3838</t>
  </si>
  <si>
    <t>POLPA DE ABACAXI- ESTOQUE TAP</t>
  </si>
  <si>
    <t>4160</t>
  </si>
  <si>
    <t>POLPA DE COCO - ESTOQUE</t>
  </si>
  <si>
    <t>1913</t>
  </si>
  <si>
    <t>6180</t>
  </si>
  <si>
    <t>POLPA DE MARACUJA - ESTOQUE TAP</t>
  </si>
  <si>
    <t>3783</t>
  </si>
  <si>
    <t>4172</t>
  </si>
  <si>
    <t>POLVO - ESTOQUE</t>
  </si>
  <si>
    <t>2224</t>
  </si>
  <si>
    <t>4175</t>
  </si>
  <si>
    <t>PORNSTAR MARTINI - TAP</t>
  </si>
  <si>
    <t>3770</t>
  </si>
  <si>
    <t>PORTA CONDIMENTOS</t>
  </si>
  <si>
    <t>3052</t>
  </si>
  <si>
    <t>1767</t>
  </si>
  <si>
    <t>POTE DE VIDRO - ESTOQUE TAP</t>
  </si>
  <si>
    <t>4560</t>
  </si>
  <si>
    <t>POTE MOLHO 30ML  - ESTOQUE TAP</t>
  </si>
  <si>
    <t>1768</t>
  </si>
  <si>
    <t>6143</t>
  </si>
  <si>
    <t>POTE ORGANIZADOR</t>
  </si>
  <si>
    <t>1114</t>
  </si>
  <si>
    <t>POUR MASTER - ESTOQUE TAP</t>
  </si>
  <si>
    <t>3929</t>
  </si>
  <si>
    <t>PRALINE</t>
  </si>
  <si>
    <t>5740</t>
  </si>
  <si>
    <t>6105</t>
  </si>
  <si>
    <t>6102</t>
  </si>
  <si>
    <t>PRATO DE CERAMICA - ESTOQUE TAP</t>
  </si>
  <si>
    <t>3866</t>
  </si>
  <si>
    <t>5673</t>
  </si>
  <si>
    <t>PRENDEDOR DE MADEIRA</t>
  </si>
  <si>
    <t>1658</t>
  </si>
  <si>
    <t>PREPARADO PARA CROQUETE DE COSTELA</t>
  </si>
  <si>
    <t>5189</t>
  </si>
  <si>
    <t>PRESUNTO PARMA - ESTOQUE</t>
  </si>
  <si>
    <t>1773</t>
  </si>
  <si>
    <t>PRIME RIB RED ANGUS COM MAIONESE DE BATATA DEFUMADA</t>
  </si>
  <si>
    <t>11</t>
  </si>
  <si>
    <t>PRIME RIB SUINA COM TUTU A MINEIRA - TAP</t>
  </si>
  <si>
    <t>2748</t>
  </si>
  <si>
    <t>PRODUTO TESTE WAB</t>
  </si>
  <si>
    <t>SOFT DRINK - TAP ROOM</t>
  </si>
  <si>
    <t>5610</t>
  </si>
  <si>
    <t>5880</t>
  </si>
  <si>
    <t>PUDIM DE DOCE DE LEITE</t>
  </si>
  <si>
    <t>5772</t>
  </si>
  <si>
    <t>5782</t>
  </si>
  <si>
    <t>5172</t>
  </si>
  <si>
    <t>PURE DE BATATAS</t>
  </si>
  <si>
    <t>5748</t>
  </si>
  <si>
    <t>PURE DE MACA - ESTOQUE TAP</t>
  </si>
  <si>
    <t>2889</t>
  </si>
  <si>
    <t>PURE DE MANGA BASTARDS - ESTOQUE</t>
  </si>
  <si>
    <t>999</t>
  </si>
  <si>
    <t>3775</t>
  </si>
  <si>
    <t>PURE FRUTAS VERMELHAS - ESTOQUE TAP</t>
  </si>
  <si>
    <t>2824</t>
  </si>
  <si>
    <t>PURE FRUTAS VERMELHAS - ESTOQUE WAB</t>
  </si>
  <si>
    <t>3592</t>
  </si>
  <si>
    <t>PURPLE HAZE</t>
  </si>
  <si>
    <t>4356</t>
  </si>
  <si>
    <t>Pa Pra Bolo</t>
  </si>
  <si>
    <t>1713</t>
  </si>
  <si>
    <t>Panela De Pressao 20L Polida - Aluminio Nacional</t>
  </si>
  <si>
    <t>1721</t>
  </si>
  <si>
    <t>Panela De Pressao 24L Fechamento Ext - Aluminio Nacional</t>
  </si>
  <si>
    <t>1722</t>
  </si>
  <si>
    <t>Paprica Defumada Kg</t>
  </si>
  <si>
    <t>1731</t>
  </si>
  <si>
    <t>Paprica Picante Kg</t>
  </si>
  <si>
    <t>1738</t>
  </si>
  <si>
    <t>Pastilha Adesiva Harpic Lavanda C-3Un</t>
  </si>
  <si>
    <t>2032</t>
  </si>
  <si>
    <t>Pastilha Adesiva Lavanda Sany C-3Un</t>
  </si>
  <si>
    <t>2033</t>
  </si>
  <si>
    <t>Pastilha Inspira Adesiva C-4 Fresh</t>
  </si>
  <si>
    <t>2034</t>
  </si>
  <si>
    <t>Pe De Suino Salgado</t>
  </si>
  <si>
    <t>1735</t>
  </si>
  <si>
    <t>Pegador Multiuso Utilita -Tramontina -  Tramontina</t>
  </si>
  <si>
    <t>1736</t>
  </si>
  <si>
    <t>Peneira Inox 0Cm</t>
  </si>
  <si>
    <t>1744</t>
  </si>
  <si>
    <t>Peneira Inox 0Cm Gp053 -  Gp Inox</t>
  </si>
  <si>
    <t>1745</t>
  </si>
  <si>
    <t>Peneira P- Frituras M Espaguete 46 75-4 - Aramfactor</t>
  </si>
  <si>
    <t>1746</t>
  </si>
  <si>
    <t>Penhasco Mountain Ipa Chope - Barril 30L</t>
  </si>
  <si>
    <t>1339</t>
  </si>
  <si>
    <t>Perverse Ne Ipa Chope - Barril 30L</t>
  </si>
  <si>
    <t>1341</t>
  </si>
  <si>
    <t>Pesto De Hortela</t>
  </si>
  <si>
    <t>1751</t>
  </si>
  <si>
    <t>Pfn Baguete 50 Fr</t>
  </si>
  <si>
    <t>1753</t>
  </si>
  <si>
    <t>Ph Baguetinha Trad 80 F</t>
  </si>
  <si>
    <t>1754</t>
  </si>
  <si>
    <t>Pimenta Shinacha</t>
  </si>
  <si>
    <t>1759</t>
  </si>
  <si>
    <t>Pinca Removedora Espinha De Peixe</t>
  </si>
  <si>
    <t>1762</t>
  </si>
  <si>
    <t>Placa Em Ps 2Mm</t>
  </si>
  <si>
    <t>1763</t>
  </si>
  <si>
    <t>Placa Em Ps Mm</t>
  </si>
  <si>
    <t>1764</t>
  </si>
  <si>
    <t>Porta Filtro Com Adaptador</t>
  </si>
  <si>
    <t>1765</t>
  </si>
  <si>
    <t>Porto Messias Ruby 750Ml</t>
  </si>
  <si>
    <t>1048</t>
  </si>
  <si>
    <t>Porto Messias Tawny 750Ml</t>
  </si>
  <si>
    <t>1049</t>
  </si>
  <si>
    <t>Prato Plastico 5Cm</t>
  </si>
  <si>
    <t>1770</t>
  </si>
  <si>
    <t>Preparado De Frutas Vermelhas Jeb 4</t>
  </si>
  <si>
    <t>1772</t>
  </si>
  <si>
    <t>QUADRO BULLDOG</t>
  </si>
  <si>
    <t>299</t>
  </si>
  <si>
    <t>QUEIJO AMERICANO - ESTOQUE TAP</t>
  </si>
  <si>
    <t>3205</t>
  </si>
  <si>
    <t>QUEIJO BRIE- ESTOQUE</t>
  </si>
  <si>
    <t>851</t>
  </si>
  <si>
    <t>QUEIJO CHEDDAR - ESTOQUE TAP</t>
  </si>
  <si>
    <t>5468</t>
  </si>
  <si>
    <t>QUEIJO DE CABRA - ESTOQUE</t>
  </si>
  <si>
    <t>1777</t>
  </si>
  <si>
    <t>QUEIJO GORGONZOLA - ESTOQUE TAP</t>
  </si>
  <si>
    <t>3025</t>
  </si>
  <si>
    <t>QUEIJO GRUERY - ESTOQUE TAP</t>
  </si>
  <si>
    <t>3080</t>
  </si>
  <si>
    <t>QUEIJO MUSSARELA - ESTOQUE TAP</t>
  </si>
  <si>
    <t>1778</t>
  </si>
  <si>
    <t>QUEIJO PARMESAO - ESTOQUE</t>
  </si>
  <si>
    <t>1779</t>
  </si>
  <si>
    <t>QUEIJO PRATO - ESTOQUE</t>
  </si>
  <si>
    <t>1780</t>
  </si>
  <si>
    <t>4161</t>
  </si>
  <si>
    <t>QUEIJO TIPO APPENZELLER - ESTOQUE</t>
  </si>
  <si>
    <t>1783</t>
  </si>
  <si>
    <t>QUEROSE</t>
  </si>
  <si>
    <t>1074</t>
  </si>
  <si>
    <t>RABO DE GALO</t>
  </si>
  <si>
    <t>3376</t>
  </si>
  <si>
    <t>RADITE ROXO - ESTOQUE TAP</t>
  </si>
  <si>
    <t>1037</t>
  </si>
  <si>
    <t>RALADOR</t>
  </si>
  <si>
    <t>2423</t>
  </si>
  <si>
    <t>RAPADURA - ESTOQUE TAP</t>
  </si>
  <si>
    <t>1787</t>
  </si>
  <si>
    <t>RAVIOLI DE COGUMELOS</t>
  </si>
  <si>
    <t>5882</t>
  </si>
  <si>
    <t>RAVIOLI DE MUÇARELA DE BUFALA</t>
  </si>
  <si>
    <t>5</t>
  </si>
  <si>
    <t>RAVIOLLI FUNGHI - ESTOQUE TAP</t>
  </si>
  <si>
    <t>5930</t>
  </si>
  <si>
    <t>5931</t>
  </si>
  <si>
    <t>RAVIOLLI M BUFALA - ESTOQUE</t>
  </si>
  <si>
    <t>13</t>
  </si>
  <si>
    <t>REBULICO - DRINK DE BARRIL</t>
  </si>
  <si>
    <t>6764</t>
  </si>
  <si>
    <t>6449</t>
  </si>
  <si>
    <t>2718</t>
  </si>
  <si>
    <t>REDUÇÃO HECTOR - ESTOQUE TAP</t>
  </si>
  <si>
    <t>2826</t>
  </si>
  <si>
    <t>5201</t>
  </si>
  <si>
    <t>REFRIGERANTE CITRUS LATA - ESTOQUE TAP</t>
  </si>
  <si>
    <t>212</t>
  </si>
  <si>
    <t>5000</t>
  </si>
  <si>
    <t>REFRIGERANTE COCA COLA LATA  - ESTOQUE GERAL</t>
  </si>
  <si>
    <t>BEBIDAS - SOFT DRINK</t>
  </si>
  <si>
    <t>0006</t>
  </si>
  <si>
    <t>REFRIGERANTE COCA COLA LATA - ESTOQUE TAP</t>
  </si>
  <si>
    <t>208</t>
  </si>
  <si>
    <t>5001</t>
  </si>
  <si>
    <t>REFRIGERANTE COCA COLA ZERO LATA - ESTOQUE GERAL</t>
  </si>
  <si>
    <t>0007</t>
  </si>
  <si>
    <t>REFRIGERANTE DE GENGIBRE - ESTOQUE</t>
  </si>
  <si>
    <t>2192</t>
  </si>
  <si>
    <t>6106</t>
  </si>
  <si>
    <t>5865</t>
  </si>
  <si>
    <t>REFRIGERANTE GENGIBIRRA - ESTOQUE TAP</t>
  </si>
  <si>
    <t>4363</t>
  </si>
  <si>
    <t>REFRIGERANTE GUARANA 2L - ESTOQUE</t>
  </si>
  <si>
    <t>997</t>
  </si>
  <si>
    <t>REFRIGERANTE GUARANA LATA - ESTOQUE TAP</t>
  </si>
  <si>
    <t>210</t>
  </si>
  <si>
    <t>6016</t>
  </si>
  <si>
    <t>REFRIGERANTE LARANJA LATA - ESTOQUE TAP</t>
  </si>
  <si>
    <t>211</t>
  </si>
  <si>
    <t>6189</t>
  </si>
  <si>
    <t>6188</t>
  </si>
  <si>
    <t>RELISH DE TOMATE - TAP</t>
  </si>
  <si>
    <t>5188</t>
  </si>
  <si>
    <t>REPELENTE</t>
  </si>
  <si>
    <t>5286</t>
  </si>
  <si>
    <t>REPOLHO ROXO - ESTOQUE</t>
  </si>
  <si>
    <t>1789</t>
  </si>
  <si>
    <t>REPOLHO VERDE</t>
  </si>
  <si>
    <t>1792</t>
  </si>
  <si>
    <t>REQUEIJAO CREMOSO - ESTOQUE TAP</t>
  </si>
  <si>
    <t>1794</t>
  </si>
  <si>
    <t>5674</t>
  </si>
  <si>
    <t>RISOTOBALL TAP</t>
  </si>
  <si>
    <t>4188</t>
  </si>
  <si>
    <t>6450</t>
  </si>
  <si>
    <t>RODO</t>
  </si>
  <si>
    <t>2037</t>
  </si>
  <si>
    <t>ROSEMARY</t>
  </si>
  <si>
    <t>4810</t>
  </si>
  <si>
    <t>ROUGE CHA ROOIBO POUCH - ESTOQUE TAP</t>
  </si>
  <si>
    <t>3810</t>
  </si>
  <si>
    <t>RUCULA - ESTOQUE TAP</t>
  </si>
  <si>
    <t>1798</t>
  </si>
  <si>
    <t>RUM BACARDI 4 ANOS - DOSE</t>
  </si>
  <si>
    <t>75</t>
  </si>
  <si>
    <t>RUM BACARDI 4 ANOS - ESTOQUE</t>
  </si>
  <si>
    <t>779</t>
  </si>
  <si>
    <t>RUM BACARDI CARTA BLANCA - DOSE</t>
  </si>
  <si>
    <t>77</t>
  </si>
  <si>
    <t>RUM BACARDI CARTA BLANCA - ESTOQUE</t>
  </si>
  <si>
    <t>1050</t>
  </si>
  <si>
    <t>RUM BACARDI CARTA ORO - ESTOQUE</t>
  </si>
  <si>
    <t>1051</t>
  </si>
  <si>
    <t>RUM BACARDI CARTA ORO- DOSE</t>
  </si>
  <si>
    <t>76</t>
  </si>
  <si>
    <t>RUM BACARDI ORO NA MANTEIGA - ESTOQUE</t>
  </si>
  <si>
    <t>2191</t>
  </si>
  <si>
    <t>RUM THE KRAKEN - ESTOQUE</t>
  </si>
  <si>
    <t>1055</t>
  </si>
  <si>
    <t>RUSTY NAIL</t>
  </si>
  <si>
    <t>154</t>
  </si>
  <si>
    <t>Rabanete Un</t>
  </si>
  <si>
    <t>1785</t>
  </si>
  <si>
    <t>Refil Alcool Gel Antisseptico - Premisse - 800 Ml</t>
  </si>
  <si>
    <t>2035</t>
  </si>
  <si>
    <t>Refil Alcool Spray Antisseptico - Premisse - 400 Ml</t>
  </si>
  <si>
    <t>2036</t>
  </si>
  <si>
    <t>Rodo 45Cm Duplo Plastico Vm Limpfor Dry</t>
  </si>
  <si>
    <t>2038</t>
  </si>
  <si>
    <t>Rodo Aluminio 60 Cm - Rodos 2000</t>
  </si>
  <si>
    <t>2039</t>
  </si>
  <si>
    <t>Rodo Plastico 45Cm Com Cabo Bettanin 9054C</t>
  </si>
  <si>
    <t>2040</t>
  </si>
  <si>
    <t>Rolha De Cortica N</t>
  </si>
  <si>
    <t>1796</t>
  </si>
  <si>
    <t>Rolha De Cortica N8 27-2-7Mm</t>
  </si>
  <si>
    <t>2041</t>
  </si>
  <si>
    <t>Rolo 28-300 Life Clean Plus Verde</t>
  </si>
  <si>
    <t>2042</t>
  </si>
  <si>
    <t>Rolo 28-300 Mr Plus Azul Standart</t>
  </si>
  <si>
    <t>2043</t>
  </si>
  <si>
    <t>Rolo 28-300 Mr Plus Verde Standart</t>
  </si>
  <si>
    <t>2044</t>
  </si>
  <si>
    <t>Rolo La 32 23Cm Tigre</t>
  </si>
  <si>
    <t>2045</t>
  </si>
  <si>
    <t>Rum Captain Morgan 750Ml</t>
  </si>
  <si>
    <t>1053</t>
  </si>
  <si>
    <t>Rum Havana Club 3A 750Ml</t>
  </si>
  <si>
    <t>1054</t>
  </si>
  <si>
    <t>2052</t>
  </si>
  <si>
    <t>SACHE ADOCANTE - ESTOQUE</t>
  </si>
  <si>
    <t>1799</t>
  </si>
  <si>
    <t>SACHE KETCHUP - ESTOQUE</t>
  </si>
  <si>
    <t>905</t>
  </si>
  <si>
    <t>SACHE MOSTARDS AMARELA - ESTOQUE</t>
  </si>
  <si>
    <t>904</t>
  </si>
  <si>
    <t>SACHE SAL - ESTOQUE</t>
  </si>
  <si>
    <t>1800</t>
  </si>
  <si>
    <t>2062</t>
  </si>
  <si>
    <t>5265</t>
  </si>
  <si>
    <t>SACO DE PAPEL - ESTOQUE TAP</t>
  </si>
  <si>
    <t>4190</t>
  </si>
  <si>
    <t>SACO DE PAPEL BRANCO - ESTOQUE TAP</t>
  </si>
  <si>
    <t>5264</t>
  </si>
  <si>
    <t>SACO DE PAPEL P/ TALHER - ESTOQUE TAP</t>
  </si>
  <si>
    <t>4189</t>
  </si>
  <si>
    <t>1803</t>
  </si>
  <si>
    <t>SACOLA DE PAPELAO PRETA</t>
  </si>
  <si>
    <t>576</t>
  </si>
  <si>
    <t>2075</t>
  </si>
  <si>
    <t>SAL DE CURA - ESTOQUE TAP</t>
  </si>
  <si>
    <t>1804</t>
  </si>
  <si>
    <t>SAL GROSSO - ESTOQUE TAP</t>
  </si>
  <si>
    <t>1805</t>
  </si>
  <si>
    <t>SAL REFINADO - ESTOQUE TAP</t>
  </si>
  <si>
    <t>1806</t>
  </si>
  <si>
    <t>SALADA CAPRESE</t>
  </si>
  <si>
    <t>14</t>
  </si>
  <si>
    <t>SALADA DO DIA</t>
  </si>
  <si>
    <t>1006</t>
  </si>
  <si>
    <t>SALMAO - ESTOQUE TAP</t>
  </si>
  <si>
    <t>1808</t>
  </si>
  <si>
    <t>SALSAO</t>
  </si>
  <si>
    <t>1810</t>
  </si>
  <si>
    <t>SALSICHA CERATTI - ESTOQUE TAP</t>
  </si>
  <si>
    <t>3840</t>
  </si>
  <si>
    <t>SALSICHA HOT DOG</t>
  </si>
  <si>
    <t>1815</t>
  </si>
  <si>
    <t>SALSICHA VIENA BOCKWURST</t>
  </si>
  <si>
    <t>1812</t>
  </si>
  <si>
    <t>SALSICHA VIENA BRATWURST</t>
  </si>
  <si>
    <t>1918</t>
  </si>
  <si>
    <t>SALSINHA - ESTOQUE TAP</t>
  </si>
  <si>
    <t>1819</t>
  </si>
  <si>
    <t>SAQUINHO DE PANO OFF WHITE - LOGO PTA</t>
  </si>
  <si>
    <t>447</t>
  </si>
  <si>
    <t>SBAGLIATO</t>
  </si>
  <si>
    <t>716</t>
  </si>
  <si>
    <t>1826</t>
  </si>
  <si>
    <t>SERVICO DE ENTREGA</t>
  </si>
  <si>
    <t>908</t>
  </si>
  <si>
    <t>SESSION GALILEO 300ML - CHOPE</t>
  </si>
  <si>
    <t>992</t>
  </si>
  <si>
    <t>SESSION GALILEO 400ML - CHOPE</t>
  </si>
  <si>
    <t>991</t>
  </si>
  <si>
    <t>2286</t>
  </si>
  <si>
    <t>SHRUB - ESTOQUE TAP</t>
  </si>
  <si>
    <t>2825</t>
  </si>
  <si>
    <t>SIDRA</t>
  </si>
  <si>
    <t>2697</t>
  </si>
  <si>
    <t>SIMPLES - XAROPE DE ACUCAR - ESTOQUE TAP</t>
  </si>
  <si>
    <t>3773</t>
  </si>
  <si>
    <t>2194</t>
  </si>
  <si>
    <t>SO-CO</t>
  </si>
  <si>
    <t>2195</t>
  </si>
  <si>
    <t>SOBRECOXA DE FRANGO COM LARANJA - TAP</t>
  </si>
  <si>
    <t>4722</t>
  </si>
  <si>
    <t>SOBRECOXA DESOSSADA -TAP</t>
  </si>
  <si>
    <t>16</t>
  </si>
  <si>
    <t>SOBRECOXA DESOSSADA ACOMPANHAMENTO - TAP</t>
  </si>
  <si>
    <t>3835</t>
  </si>
  <si>
    <t>SOBRECOXA DESOSSADA COM PELE - TAP</t>
  </si>
  <si>
    <t>1564</t>
  </si>
  <si>
    <t>SODA CAUSTICA</t>
  </si>
  <si>
    <t>1312</t>
  </si>
  <si>
    <t>SORVETE DE BAUNILHA - ESTOQUE TAP</t>
  </si>
  <si>
    <t>3500</t>
  </si>
  <si>
    <t>SORVETE DE CHOCOLATE - ESTOQUE TAP</t>
  </si>
  <si>
    <t>3501</t>
  </si>
  <si>
    <t>SOUTHERN BOULEVARDIER</t>
  </si>
  <si>
    <t>4355</t>
  </si>
  <si>
    <t>SPICE CHAI CHA INFUSAO DE ERVAS POUCH</t>
  </si>
  <si>
    <t>3198</t>
  </si>
  <si>
    <t>SQUEEZE SOCIEDADE BASTARDA</t>
  </si>
  <si>
    <t>656</t>
  </si>
  <si>
    <t>SRIRACHA MOLHO DE PIMENTA</t>
  </si>
  <si>
    <t>1832</t>
  </si>
  <si>
    <t>STROGONOFF DE MIGNON</t>
  </si>
  <si>
    <t>17</t>
  </si>
  <si>
    <t>5634</t>
  </si>
  <si>
    <t>SUAVECITO (SEM ALCOOL)</t>
  </si>
  <si>
    <t>161</t>
  </si>
  <si>
    <t>SUCO CONCENTRADO ABACAXI - ESTOQUE</t>
  </si>
  <si>
    <t>1921</t>
  </si>
  <si>
    <t>SUCO CONCENTRADO LARANJA - ESTOQUE TAP</t>
  </si>
  <si>
    <t>5950</t>
  </si>
  <si>
    <t>3772</t>
  </si>
  <si>
    <t>SUCO DE LIMAO TAHITI - ESTOQUE TAP</t>
  </si>
  <si>
    <t>3769</t>
  </si>
  <si>
    <t>SUCO DE MACA - ESTOQUE TAP</t>
  </si>
  <si>
    <t>1923</t>
  </si>
  <si>
    <t>5556</t>
  </si>
  <si>
    <t>SUCO DE TORANJA - ESTOQUE TAP (FALTA)</t>
  </si>
  <si>
    <t>5470</t>
  </si>
  <si>
    <t>4778</t>
  </si>
  <si>
    <t>5017</t>
  </si>
  <si>
    <t>SUCO PESSEGO LATA - ESTOQUE TAP</t>
  </si>
  <si>
    <t>213</t>
  </si>
  <si>
    <t>SUCO UVA LATA - ESTOQUE TAP</t>
  </si>
  <si>
    <t>214</t>
  </si>
  <si>
    <t>SUPORTE FIBRA - ESTOQUE TAP - CÓPIA</t>
  </si>
  <si>
    <t>5952</t>
  </si>
  <si>
    <t>3084</t>
  </si>
  <si>
    <t>SWEET DREAMS</t>
  </si>
  <si>
    <t>130</t>
  </si>
  <si>
    <t>SWEET GIN</t>
  </si>
  <si>
    <t>162</t>
  </si>
  <si>
    <t>5558</t>
  </si>
  <si>
    <t>3774</t>
  </si>
  <si>
    <t>Sabao Em Po</t>
  </si>
  <si>
    <t>2046</t>
  </si>
  <si>
    <t>Sabao Po 2.400Kg Brilhante</t>
  </si>
  <si>
    <t>2047</t>
  </si>
  <si>
    <t>Sabao Po 5Kg Facilita</t>
  </si>
  <si>
    <t>2048</t>
  </si>
  <si>
    <t>Sabonete 800Ml Erva Doce Esp S- Val Exac</t>
  </si>
  <si>
    <t>2050</t>
  </si>
  <si>
    <t>Sabonete 800Ml Neutro Premisse</t>
  </si>
  <si>
    <t>2051</t>
  </si>
  <si>
    <t>Sabonete Cremoso Erva-Doce - Premisse - 5 L</t>
  </si>
  <si>
    <t>2053</t>
  </si>
  <si>
    <t>Sabonete Cremoso Neutro - Claralux - 5 L</t>
  </si>
  <si>
    <t>2054</t>
  </si>
  <si>
    <t>Sabonete Cremoso Neutro Glicerinado - Premisse - 5 L</t>
  </si>
  <si>
    <t>2055</t>
  </si>
  <si>
    <t>Sabonete Liquido Erva Doce Soft Premisse 5Lt</t>
  </si>
  <si>
    <t>2056</t>
  </si>
  <si>
    <t>Saboneteira Premis Invoq Preta Un</t>
  </si>
  <si>
    <t>2057</t>
  </si>
  <si>
    <t>Saboneteira Premis Invoq Un</t>
  </si>
  <si>
    <t>2058</t>
  </si>
  <si>
    <t>Saco De Algodao Alvejado 40-65 Cm Ref 045 Martins</t>
  </si>
  <si>
    <t>2060</t>
  </si>
  <si>
    <t>Saco De Confeitar</t>
  </si>
  <si>
    <t>1801</t>
  </si>
  <si>
    <t>Saco De Lixo 00 L - Cores - Plasfort Espessura</t>
  </si>
  <si>
    <t>2061</t>
  </si>
  <si>
    <t>Saco De Lixo 60 L - Preto - Plasfort - 00 Unid Espessura</t>
  </si>
  <si>
    <t>1802</t>
  </si>
  <si>
    <t>Saco Lixo 00L Az 75-90-08 C-00 Limpfor</t>
  </si>
  <si>
    <t>2065</t>
  </si>
  <si>
    <t>Saco Lixo 00L Pr 75-90-02 C00 Limpfor</t>
  </si>
  <si>
    <t>2066</t>
  </si>
  <si>
    <t>Saco Lixo 00L Pr 75-90-08 C00 Limpfor</t>
  </si>
  <si>
    <t>2067</t>
  </si>
  <si>
    <t>Saco Lixo 40L Pr 53-55-03 C-00 Limpfor</t>
  </si>
  <si>
    <t>2068</t>
  </si>
  <si>
    <t>Saco Lixo 60L Pr 65-75-06 C-00 Limpfor</t>
  </si>
  <si>
    <t>2069</t>
  </si>
  <si>
    <t>Saco P-Lixo 00L Preto 0M 75-85 Nek C-00Un</t>
  </si>
  <si>
    <t>2070</t>
  </si>
  <si>
    <t>Saco P-Lixo 00L Preto 0M 75-85 Prapeso C-00Un</t>
  </si>
  <si>
    <t>2071</t>
  </si>
  <si>
    <t>Saco P-Lixo 200L Preto 2M 90-0 Prapeso C-00Un</t>
  </si>
  <si>
    <t>2072</t>
  </si>
  <si>
    <t>Saco P-Lixo 20L Preto 3M 39-49 Nek C-00Un</t>
  </si>
  <si>
    <t>2073</t>
  </si>
  <si>
    <t>Saco Xadrez Lavado 48-74Cm - Sao Gabriel</t>
  </si>
  <si>
    <t>2074</t>
  </si>
  <si>
    <t>Sake Jun Daiti 670Ml</t>
  </si>
  <si>
    <t>1056</t>
  </si>
  <si>
    <t>Salvia</t>
  </si>
  <si>
    <t>1820</t>
  </si>
  <si>
    <t>Sanitizante 005Kg Mult Veg</t>
  </si>
  <si>
    <t>1821</t>
  </si>
  <si>
    <t>Sanitizante Neoclean Sanitveg - Claralux -  Kg</t>
  </si>
  <si>
    <t>2076</t>
  </si>
  <si>
    <t>Sealtubo Preto 3-4 Indel</t>
  </si>
  <si>
    <t>1825</t>
  </si>
  <si>
    <t>Secante Para Maquinas 5L</t>
  </si>
  <si>
    <t>2077</t>
  </si>
  <si>
    <t>Secante Para Maquinas Click Limp 5L</t>
  </si>
  <si>
    <t>2078</t>
  </si>
  <si>
    <t>Secante Para Maquinas Clicklimp 5L</t>
  </si>
  <si>
    <t>1827</t>
  </si>
  <si>
    <t>Shoulder</t>
  </si>
  <si>
    <t>1829</t>
  </si>
  <si>
    <t>Stretch Fita Tudo 00Mm00M Sem Cabo</t>
  </si>
  <si>
    <t>2079</t>
  </si>
  <si>
    <t>TABASCO ORIGINAL - ESTQOUE</t>
  </si>
  <si>
    <t>1837</t>
  </si>
  <si>
    <t>TACA BRUNELLO 400ML - LOGO BSTRDS / BCO E AMARELO</t>
  </si>
  <si>
    <t>564</t>
  </si>
  <si>
    <t>TACA DUBLIN</t>
  </si>
  <si>
    <t>959</t>
  </si>
  <si>
    <t>TACA DUBLIN 490ML - DUAS LOGOS / PTO E CINZA</t>
  </si>
  <si>
    <t>617</t>
  </si>
  <si>
    <t>TACA EMPIRE</t>
  </si>
  <si>
    <t>3724</t>
  </si>
  <si>
    <t>TACA MIDEN</t>
  </si>
  <si>
    <t>5714</t>
  </si>
  <si>
    <t>TACA MILK-SHAKE</t>
  </si>
  <si>
    <t>3720</t>
  </si>
  <si>
    <t>TACA PARA O BAR - ESTOQUE TAP</t>
  </si>
  <si>
    <t>4098</t>
  </si>
  <si>
    <t>TACA VINHO POTRE BRANCO WHITE BLEND ARGENTINA - TAP</t>
  </si>
  <si>
    <t>6607</t>
  </si>
  <si>
    <t>6606</t>
  </si>
  <si>
    <t>6608</t>
  </si>
  <si>
    <t>6605</t>
  </si>
  <si>
    <t>TACA WINDSOR</t>
  </si>
  <si>
    <t>918</t>
  </si>
  <si>
    <t>4920</t>
  </si>
  <si>
    <t>TAMPA ROLHA</t>
  </si>
  <si>
    <t>1045</t>
  </si>
  <si>
    <t>TANGEBREW</t>
  </si>
  <si>
    <t>4049</t>
  </si>
  <si>
    <t>TANGERINA</t>
  </si>
  <si>
    <t>1842</t>
  </si>
  <si>
    <t>TANGERINE HOP ZEST</t>
  </si>
  <si>
    <t>4061</t>
  </si>
  <si>
    <t>TAPAS DE FRUTOS DO MAR</t>
  </si>
  <si>
    <t>5281</t>
  </si>
  <si>
    <t>TAPETE</t>
  </si>
  <si>
    <t>1247</t>
  </si>
  <si>
    <t>TAPETE BORRACHA BALCAO (BARMATCH)</t>
  </si>
  <si>
    <t>676</t>
  </si>
  <si>
    <t>TAXA DE ENTREGA</t>
  </si>
  <si>
    <t>BAR DA FABRICA - T - TAXAS</t>
  </si>
  <si>
    <t>775</t>
  </si>
  <si>
    <t>TAXA DE SERVICO</t>
  </si>
  <si>
    <t>776</t>
  </si>
  <si>
    <t>TEMPERO CAJUN</t>
  </si>
  <si>
    <t>1445</t>
  </si>
  <si>
    <t>TENNESSEE APPLE PIE</t>
  </si>
  <si>
    <t>4812</t>
  </si>
  <si>
    <t>TEQUILA JOSE CUERVO OURO - ESTOQUE</t>
  </si>
  <si>
    <t>1059</t>
  </si>
  <si>
    <t>TEQUILA JOSE CUERVO PRATA - ESTOQUE</t>
  </si>
  <si>
    <t>1060</t>
  </si>
  <si>
    <t>TEQUILA JOSE CUERVO REPOSADO - ESTOQUE</t>
  </si>
  <si>
    <t>1058</t>
  </si>
  <si>
    <t>TEQUILA JOSE CUERVO TRADICIONAL - ESTOQUE</t>
  </si>
  <si>
    <t>1843</t>
  </si>
  <si>
    <t>TESTE ORDEM DE PRODUÇÃO</t>
  </si>
  <si>
    <t>6178</t>
  </si>
  <si>
    <t>THE CHOPE CLOUD AURA - 300ML</t>
  </si>
  <si>
    <t>6122</t>
  </si>
  <si>
    <t>THE CHOPE CLOUD AURA - 400ML</t>
  </si>
  <si>
    <t>6121</t>
  </si>
  <si>
    <t>TINTO DE VERANO</t>
  </si>
  <si>
    <t>6766</t>
  </si>
  <si>
    <t>TOMATE CEREJA AMARELO - ESTOQUE TAP</t>
  </si>
  <si>
    <t>973</t>
  </si>
  <si>
    <t>TOMATE CEREJA VERMELHO - ESTOQUE TAP</t>
  </si>
  <si>
    <t>1848</t>
  </si>
  <si>
    <t>TOMATE PELADO - ESTOQUE</t>
  </si>
  <si>
    <t>1851</t>
  </si>
  <si>
    <t>TOMATE SALADETE - ESTOQUE TAP</t>
  </si>
  <si>
    <t>1849</t>
  </si>
  <si>
    <t>TOMATE SECO - ESTOQUE TAP</t>
  </si>
  <si>
    <t>976</t>
  </si>
  <si>
    <t>TOMILHO</t>
  </si>
  <si>
    <t>1855</t>
  </si>
  <si>
    <t>TORTA DE CHOCOLATE COM CARAMELO SALGADO - FATIA</t>
  </si>
  <si>
    <t>5771</t>
  </si>
  <si>
    <t>TOUR NA FABRICA BULLDOG ALMOCO</t>
  </si>
  <si>
    <t>4525</t>
  </si>
  <si>
    <t>TOUR NA FABRICA BULLDOG HAPPY HOUR</t>
  </si>
  <si>
    <t>4526</t>
  </si>
  <si>
    <t>TOUR NA FABRICA VIRA LATA</t>
  </si>
  <si>
    <t>4524</t>
  </si>
  <si>
    <t>TRIVISAN BRANCA 600ML - ESTOQUE TAP</t>
  </si>
  <si>
    <t>53886092</t>
  </si>
  <si>
    <t>3001</t>
  </si>
  <si>
    <t>5555</t>
  </si>
  <si>
    <t>3504</t>
  </si>
  <si>
    <t>TUTU DE FEIJAO - INSUMOS TAP</t>
  </si>
  <si>
    <t>1207</t>
  </si>
  <si>
    <t>Talharim</t>
  </si>
  <si>
    <t>1838</t>
  </si>
  <si>
    <t>Talharim Fresco Kg</t>
  </si>
  <si>
    <t>1839</t>
  </si>
  <si>
    <t>Tampa Meia Lua Bralimpia Preta</t>
  </si>
  <si>
    <t>1840</t>
  </si>
  <si>
    <t>Tampa Pvc Cega 3-4 Btanca Vicap</t>
  </si>
  <si>
    <t>1841</t>
  </si>
  <si>
    <t>Termometro Culinario Digital</t>
  </si>
  <si>
    <t>1844</t>
  </si>
  <si>
    <t>Tesoura  Cabo Embor. 25Cm Te2502 Brw</t>
  </si>
  <si>
    <t>1845</t>
  </si>
  <si>
    <t>Touca  Descartavel Talge C-00</t>
  </si>
  <si>
    <t>1857</t>
  </si>
  <si>
    <t>Touca Descartavel</t>
  </si>
  <si>
    <t>2080</t>
  </si>
  <si>
    <t>Tubo Corrugado 3-4</t>
  </si>
  <si>
    <t>1858</t>
  </si>
  <si>
    <t>Tulipa</t>
  </si>
  <si>
    <t>1860</t>
  </si>
  <si>
    <t>UM BRINDE A ELAS 300ML</t>
  </si>
  <si>
    <t>4617</t>
  </si>
  <si>
    <t>UM BRINDE A ELAS 400ML</t>
  </si>
  <si>
    <t>4615</t>
  </si>
  <si>
    <t>UM BRINDE A ELAS 473ML</t>
  </si>
  <si>
    <t>325</t>
  </si>
  <si>
    <t>UNCOMMON BASTARDS LATA 473ML</t>
  </si>
  <si>
    <t>219</t>
  </si>
  <si>
    <t>UNIFORME FUNCIONARIOS</t>
  </si>
  <si>
    <t>926</t>
  </si>
  <si>
    <t>UVA EM NATURA - ESTOQUE</t>
  </si>
  <si>
    <t>1204</t>
  </si>
  <si>
    <t>V Catafesta Bordo Tinto Seco Garrafao</t>
  </si>
  <si>
    <t>1927</t>
  </si>
  <si>
    <t>V Catafesta Branco Seco Garrafao</t>
  </si>
  <si>
    <t>1928</t>
  </si>
  <si>
    <t>VALE PRESENTE (R$100)</t>
  </si>
  <si>
    <t>578</t>
  </si>
  <si>
    <t>VALE PRESENTE (R$50)</t>
  </si>
  <si>
    <t>577</t>
  </si>
  <si>
    <t>VALVULA SOLENOIDE</t>
  </si>
  <si>
    <t>1718</t>
  </si>
  <si>
    <t>VASSOURA - ESTOQUE TAP</t>
  </si>
  <si>
    <t>2081</t>
  </si>
  <si>
    <t>VERANEIO (SEM ALCOOL)</t>
  </si>
  <si>
    <t>163</t>
  </si>
  <si>
    <t>5170</t>
  </si>
  <si>
    <t>VERMOUTH CINZANO ROSSO - ESTOQUE TAP</t>
  </si>
  <si>
    <t>6032</t>
  </si>
  <si>
    <t>5808</t>
  </si>
  <si>
    <t>6009</t>
  </si>
  <si>
    <t>VERMOUTH MARTINI ROSSO - ESTOQUE TAP</t>
  </si>
  <si>
    <t>1047</t>
  </si>
  <si>
    <t>VESTIDO - UM BRINDE A ELAS (G)</t>
  </si>
  <si>
    <t>4771</t>
  </si>
  <si>
    <t>VESTIDO - UM BRINDE A ELAS (GG)</t>
  </si>
  <si>
    <t>4772</t>
  </si>
  <si>
    <t>VESTIDO - UM BRINDE A ELAS (M)</t>
  </si>
  <si>
    <t>4770</t>
  </si>
  <si>
    <t>VESTIDO - UM BRINDE A ELAS (P)</t>
  </si>
  <si>
    <t>4594</t>
  </si>
  <si>
    <t>VINAGRE ARROZ</t>
  </si>
  <si>
    <t>1866</t>
  </si>
  <si>
    <t>VINAGRE BALSAMICO</t>
  </si>
  <si>
    <t>1867</t>
  </si>
  <si>
    <t>VINAGRE DE ALCOOL - ESOQUE TAP</t>
  </si>
  <si>
    <t>5615</t>
  </si>
  <si>
    <t>VINAGRE MACA</t>
  </si>
  <si>
    <t>1868</t>
  </si>
  <si>
    <t>VINAGRE VINHO</t>
  </si>
  <si>
    <t>1933</t>
  </si>
  <si>
    <t>VINAGRETE DA CASA - TAP</t>
  </si>
  <si>
    <t>1870</t>
  </si>
  <si>
    <t>VINHO BRANCO SECO - ESTOQUE</t>
  </si>
  <si>
    <t>962</t>
  </si>
  <si>
    <t>VINHO BRANCO SUAVE - ESTOQUE TAP</t>
  </si>
  <si>
    <t>4204</t>
  </si>
  <si>
    <t>VINHO CABERNET SAUV. - ESTOQUE</t>
  </si>
  <si>
    <t>2227</t>
  </si>
  <si>
    <t>6599</t>
  </si>
  <si>
    <t>VINHO COSECHA - ESTOQUE TAP</t>
  </si>
  <si>
    <t>4542</t>
  </si>
  <si>
    <t>VINHO MERLOT - ESTOQUE</t>
  </si>
  <si>
    <t>1061</t>
  </si>
  <si>
    <t>VINHO TINTO SECO VAILAT - TAP</t>
  </si>
  <si>
    <t>3022</t>
  </si>
  <si>
    <t>4102</t>
  </si>
  <si>
    <t>4127</t>
  </si>
  <si>
    <t>4126</t>
  </si>
  <si>
    <t>2468</t>
  </si>
  <si>
    <t>VODKA ABSOLUT EXTRAKT - ESTOQUE</t>
  </si>
  <si>
    <t>1066</t>
  </si>
  <si>
    <t>VODKA ABSOLUT VANILLA (INFUSAO FRUTAS VERMELHAS) - TAP</t>
  </si>
  <si>
    <t>4360</t>
  </si>
  <si>
    <t>VODKA ABSOLUT VANILLA - ESTOQUE TAP</t>
  </si>
  <si>
    <t>3076</t>
  </si>
  <si>
    <t>VODKA BASTARDA BAG 5L - ESTOQUE TAP</t>
  </si>
  <si>
    <t>6460</t>
  </si>
  <si>
    <t>6461</t>
  </si>
  <si>
    <t>VODKA CIROC - ESTOQUE</t>
  </si>
  <si>
    <t>1067</t>
  </si>
  <si>
    <t>VODKA KETEL ONE - DOSE</t>
  </si>
  <si>
    <t>69</t>
  </si>
  <si>
    <t>VODKA KETEL ONE - ESTOQUE</t>
  </si>
  <si>
    <t>1936</t>
  </si>
  <si>
    <t>3354</t>
  </si>
  <si>
    <t>5878</t>
  </si>
  <si>
    <t>VODKA SMIRNOFF - DOSE</t>
  </si>
  <si>
    <t>87</t>
  </si>
  <si>
    <t>VODKA SMIRNOFF - ESTOQUE</t>
  </si>
  <si>
    <t>1068</t>
  </si>
  <si>
    <t>Vagem Kg</t>
  </si>
  <si>
    <t>1862</t>
  </si>
  <si>
    <t>Valvula De Silicone Panela Express - Aluminio Fulgor</t>
  </si>
  <si>
    <t>1863</t>
  </si>
  <si>
    <t>Vidro 250Ml Luxor C-Tp Preta Ref. 9425</t>
  </si>
  <si>
    <t>1931</t>
  </si>
  <si>
    <t>Vidro 3250Ml Boca Larga Tp 3Mm</t>
  </si>
  <si>
    <t>1932</t>
  </si>
  <si>
    <t>Vin Alcool Castelo</t>
  </si>
  <si>
    <t>1864</t>
  </si>
  <si>
    <t>Vina Perdigao</t>
  </si>
  <si>
    <t>1865</t>
  </si>
  <si>
    <t>W. Jw Black Label Ed.Especial L</t>
  </si>
  <si>
    <t>1937</t>
  </si>
  <si>
    <t>W. Red Label Ed Limitada Icons L</t>
  </si>
  <si>
    <t>1938</t>
  </si>
  <si>
    <t>WAFFLE DE QUEIJO</t>
  </si>
  <si>
    <t>4054</t>
  </si>
  <si>
    <t>WAFFLES - ESTOQUE TAP</t>
  </si>
  <si>
    <t>2501</t>
  </si>
  <si>
    <t>3608</t>
  </si>
  <si>
    <t>WHISKY BLACK LABEL - DOSE</t>
  </si>
  <si>
    <t>88</t>
  </si>
  <si>
    <t>WHISKY BLACK LABEL - ESTOQUE TAP</t>
  </si>
  <si>
    <t>866</t>
  </si>
  <si>
    <t>WHISKY BOURBON JIM BEAN - DOSE</t>
  </si>
  <si>
    <t>89</t>
  </si>
  <si>
    <t>WHISKY BOURBON JIM BEAN - ESTOQUE</t>
  </si>
  <si>
    <t>868</t>
  </si>
  <si>
    <t>WHISKY BULLEIT - DOSE</t>
  </si>
  <si>
    <t>90</t>
  </si>
  <si>
    <t>WHISKY BULLEIT BOURBON - ESTOQUE TAP</t>
  </si>
  <si>
    <t>2466</t>
  </si>
  <si>
    <t>WHISKY CHIVAS 12 ANOS - ESTOQUE</t>
  </si>
  <si>
    <t>778</t>
  </si>
  <si>
    <t>WHISKY CHIVAS EXTRA</t>
  </si>
  <si>
    <t>93</t>
  </si>
  <si>
    <t>WHISKY FIREBALL CINNAMON</t>
  </si>
  <si>
    <t>112</t>
  </si>
  <si>
    <t>3764</t>
  </si>
  <si>
    <t>WHISKY JACK DANIELS  - ESTOQUE TAP</t>
  </si>
  <si>
    <t>3765</t>
  </si>
  <si>
    <t>5579</t>
  </si>
  <si>
    <t>5778</t>
  </si>
  <si>
    <t>WHISKY JAMESON - DOSE</t>
  </si>
  <si>
    <t>5548</t>
  </si>
  <si>
    <t>WHISKY JAMESON - ESTOQUE TAP</t>
  </si>
  <si>
    <t>95</t>
  </si>
  <si>
    <t>6162</t>
  </si>
  <si>
    <t>WHISKY JOHNNIE WALKER BLOND - DOSE</t>
  </si>
  <si>
    <t>978</t>
  </si>
  <si>
    <t>WHISKY JOHNNIE WALKER BLOND - ESTOQUE</t>
  </si>
  <si>
    <t>979</t>
  </si>
  <si>
    <t>WHISKY JOHNNIE WALKER GOLD - DOSE</t>
  </si>
  <si>
    <t>94</t>
  </si>
  <si>
    <t>WHISKY JOHNNIE WALKER GOLD - ESTOQUE</t>
  </si>
  <si>
    <t>963</t>
  </si>
  <si>
    <t>WHISKY OLD PAR - ESTOQUE TAP</t>
  </si>
  <si>
    <t>890</t>
  </si>
  <si>
    <t>WHISKY RED LABEL - DOSE</t>
  </si>
  <si>
    <t>96</t>
  </si>
  <si>
    <t>WHISKY RED LABEL - ESTOQUE</t>
  </si>
  <si>
    <t>867</t>
  </si>
  <si>
    <t>6774</t>
  </si>
  <si>
    <t>2907</t>
  </si>
  <si>
    <t>WHISKY SOUR</t>
  </si>
  <si>
    <t>164</t>
  </si>
  <si>
    <t>WHISKY SOUTHERN COMFORT  DOSE</t>
  </si>
  <si>
    <t>82</t>
  </si>
  <si>
    <t>Wiper Plus Rolo 50G 25-240M 600Fls Azul</t>
  </si>
  <si>
    <t>2086</t>
  </si>
  <si>
    <t>XAMA- QUEDA TROPICAL  - 300ML</t>
  </si>
  <si>
    <t>6416</t>
  </si>
  <si>
    <t>XAMA- QUEDA TROPICAL- ESTOQUE TAP</t>
  </si>
  <si>
    <t>6329</t>
  </si>
  <si>
    <t>XAROPE 1883 FALERNUN 1L  - ESTOQUE TAP</t>
  </si>
  <si>
    <t>5813</t>
  </si>
  <si>
    <t>XAROPE 1883 MELANCIA 1L - ESTOQUE TAP</t>
  </si>
  <si>
    <t>5812</t>
  </si>
  <si>
    <t>XAROPE CARAMELO SALGADO - ESTOQUE TAP</t>
  </si>
  <si>
    <t>2978</t>
  </si>
  <si>
    <t>XAROPE DE GENGIBRE (INSUMO) - ESTOQUE TAP</t>
  </si>
  <si>
    <t>4349</t>
  </si>
  <si>
    <t>XAROPE DE HIBISCO BASTARDS - ESTOQUE</t>
  </si>
  <si>
    <t>984</t>
  </si>
  <si>
    <t>6459</t>
  </si>
  <si>
    <t>XAROPE DE MAPLE - ESTOQUE TAP</t>
  </si>
  <si>
    <t>3853</t>
  </si>
  <si>
    <t>XAROPE DE MEL - ESTOQUE TAP</t>
  </si>
  <si>
    <t>4358</t>
  </si>
  <si>
    <t>5775</t>
  </si>
  <si>
    <t>XAROPE FALLERNUM BASTARDS (INSUMO) - ESTOQUE</t>
  </si>
  <si>
    <t>1005</t>
  </si>
  <si>
    <t>4201</t>
  </si>
  <si>
    <t>5081</t>
  </si>
  <si>
    <t>5561</t>
  </si>
  <si>
    <t>XAROPE LE GOUT MELANCIA - ESTOQUE TAP</t>
  </si>
  <si>
    <t>4535</t>
  </si>
  <si>
    <t>XAROPE LE GOUT MOSCOW MULE - ESTOQUE TAP</t>
  </si>
  <si>
    <t>4534</t>
  </si>
  <si>
    <t>5106</t>
  </si>
  <si>
    <t>XAROPE LE GOUT SPICY MANGO - ESTOQUE TAP</t>
  </si>
  <si>
    <t>BAR DA FABRICA - T - PRODUTOS INTERMEDIARIOS</t>
  </si>
  <si>
    <t>53886111</t>
  </si>
  <si>
    <t>XAROPE LE GOUT TANGERINA - ESTOQUE TAP</t>
  </si>
  <si>
    <t>53886109</t>
  </si>
  <si>
    <t>4987</t>
  </si>
  <si>
    <t>XAROPE MONIN ABACAXI  - ESTOQUE TAP</t>
  </si>
  <si>
    <t>3885</t>
  </si>
  <si>
    <t>3886</t>
  </si>
  <si>
    <t>XAROPE MONIN CANELA - ESTOQUE</t>
  </si>
  <si>
    <t>1947</t>
  </si>
  <si>
    <t>4101</t>
  </si>
  <si>
    <t>XAROPE MONIN CRAMBERRY - ESTOQUE</t>
  </si>
  <si>
    <t>1948</t>
  </si>
  <si>
    <t>5779</t>
  </si>
  <si>
    <t>XAROPE MONIN MACA VERDE- ESTOQUE  TAP</t>
  </si>
  <si>
    <t>3798</t>
  </si>
  <si>
    <t>5780</t>
  </si>
  <si>
    <t>XAROPE MONIN MARACUJA - ESTOQUE TAP</t>
  </si>
  <si>
    <t>3782</t>
  </si>
  <si>
    <t>4705</t>
  </si>
  <si>
    <t>XAROPE MONIN TORANJA - ESTOQUE TAP</t>
  </si>
  <si>
    <t>1950</t>
  </si>
  <si>
    <t>4704</t>
  </si>
  <si>
    <t>XICARA DE CAFÉ TANGERINA 380ML</t>
  </si>
  <si>
    <t>6245</t>
  </si>
  <si>
    <t>XP 079 PUMPKIN PALE ALE LATA</t>
  </si>
  <si>
    <t>298</t>
  </si>
  <si>
    <t>XP 080 - SIDRA  APFELTRAUM - ESTOQUE</t>
  </si>
  <si>
    <t>1342</t>
  </si>
  <si>
    <t>XP 080 - SIDRA APFELTRAUM LATA 473ML</t>
  </si>
  <si>
    <t>332</t>
  </si>
  <si>
    <t>XP 082 - BALTIC PORTER CHOPE - ESTOQUE</t>
  </si>
  <si>
    <t>1343</t>
  </si>
  <si>
    <t>XP 082 - BALTIC PORTER LATA 473ML</t>
  </si>
  <si>
    <t>335</t>
  </si>
  <si>
    <t>2655</t>
  </si>
  <si>
    <t>2982</t>
  </si>
  <si>
    <t>XP 086 WEST COST IPA -  LATA 473ML</t>
  </si>
  <si>
    <t>3044</t>
  </si>
  <si>
    <t>3627</t>
  </si>
  <si>
    <t>3684</t>
  </si>
  <si>
    <t>4014</t>
  </si>
  <si>
    <t>4416</t>
  </si>
  <si>
    <t>XP 091 ORANGE IPA LATA- 473ML</t>
  </si>
  <si>
    <t>5266</t>
  </si>
  <si>
    <t>4451</t>
  </si>
  <si>
    <t>XP 093 BRISA DA MANHÃ LATA 473ML -</t>
  </si>
  <si>
    <t>5995</t>
  </si>
  <si>
    <t>6464</t>
  </si>
  <si>
    <t>6670</t>
  </si>
  <si>
    <t>6671</t>
  </si>
  <si>
    <t>6672</t>
  </si>
  <si>
    <t>Xarope Monin Avela 700Ml</t>
  </si>
  <si>
    <t>1942</t>
  </si>
  <si>
    <t>YERBA BUENA</t>
  </si>
  <si>
    <t>4811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</si>
</sst>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 \-\ #,##0.00;"/>
  </numFmts>
  <fonts count="3" x14ac:knownFonts="1">
    <font>
      <sz val="12"/>
      <color rgb="FF000000"/>
      <name val="Calibri"/>
      <family val="1"/>
    </font>
    <font>
      <sz val="13"/>
      <color rgb="FFFFFFFF"/>
      <name val="Calibri"/>
      <family val="1"/>
    </font>
    <font>
      <sz val="11"/>
      <color rgb="FF181A19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191970"/>
        <bgColor rgb="FF19197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54"/>
  <sheetViews>
    <sheetView tabSelected="1" zoomScaleNormal="100" workbookViewId="0">
      <selection activeCell="A2" sqref="A2"/>
    </sheetView>
  </sheetViews>
  <sheetFormatPr defaultColWidth="11" defaultRowHeight="15.75" x14ac:dyDescent="0.25"/>
  <cols>
    <col min="1" max="1" width="78" customWidth="1"/>
    <col min="2" max="2" width="71" customWidth="1"/>
    <col min="3" max="3" width="12" customWidth="1"/>
    <col min="4" max="4" width="14" customWidth="1"/>
    <col min="5" max="5" width="20" customWidth="1"/>
    <col min="6" max="6" width="9" customWidth="1"/>
    <col min="7" max="7" width="14" customWidth="1"/>
    <col min="8" max="8" width="10" customWidth="1"/>
  </cols>
  <sheetData>
    <row r="1" spans="1:8" ht="17.25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 t="s">
        <v>2916</v>
      </c>
      <c r="B2" s="4" t="s">
        <v>2917</v>
      </c>
      <c r="C2" s="5">
        <v>85</v>
      </c>
      <c r="D2" s="5">
        <v>62.59</v>
      </c>
      <c r="F2" s="4" t="s">
        <v>59</v>
      </c>
      <c r="G2" s="4" t="s">
        <v>2918</v>
      </c>
      <c r="H2" s="6" t="s">
        <v>11</v>
      </c>
    </row>
    <row r="3" spans="1:8" x14ac:dyDescent="0.25">
      <c r="A3" s="4" t="str">
        <f>"ESPUMANTE AMITIE MOSCATEL BRANCO BRASIL - TAP "</f>
        <v xml:space="preserve">ESPUMANTE AMITIE MOSCATEL BRANCO BRASIL - TAP </v>
      </c>
      <c r="B3" s="4" t="s">
        <v>2917</v>
      </c>
      <c r="C3" s="5">
        <v>85</v>
      </c>
      <c r="D3" s="5">
        <v>45.38</v>
      </c>
      <c r="F3" s="4" t="s">
        <v>59</v>
      </c>
      <c r="G3" s="4" t="s">
        <v>2919</v>
      </c>
      <c r="H3" s="6" t="s">
        <v>11</v>
      </c>
    </row>
    <row r="4" spans="1:8" x14ac:dyDescent="0.25">
      <c r="A4" s="4" t="s">
        <v>2920</v>
      </c>
      <c r="B4" s="4" t="s">
        <v>2917</v>
      </c>
      <c r="C4" s="5">
        <v>85</v>
      </c>
      <c r="D4" s="5">
        <v>59.38</v>
      </c>
      <c r="F4" s="4" t="s">
        <v>59</v>
      </c>
      <c r="G4" s="4" t="s">
        <v>2921</v>
      </c>
      <c r="H4" s="6" t="s">
        <v>11</v>
      </c>
    </row>
    <row r="5" spans="1:8" x14ac:dyDescent="0.25">
      <c r="A5" s="4" t="str">
        <f>"GARRAFA VINHO BORN TO BE WILD BOBAL ESPANHA - TAP "</f>
        <v xml:space="preserve">GARRAFA VINHO BORN TO BE WILD BOBAL ESPANHA - TAP </v>
      </c>
      <c r="B5" s="4" t="s">
        <v>2917</v>
      </c>
      <c r="C5" s="5">
        <v>212.4</v>
      </c>
      <c r="D5" s="5">
        <v>94.4</v>
      </c>
      <c r="F5" s="4" t="s">
        <v>59</v>
      </c>
      <c r="G5" s="4" t="s">
        <v>3068</v>
      </c>
      <c r="H5" s="6" t="s">
        <v>11</v>
      </c>
    </row>
    <row r="6" spans="1:8" x14ac:dyDescent="0.25">
      <c r="A6" s="4" t="str">
        <f>"GARRAFA VINHO CASA HERENCIA TINTO ESPANHA - TAP "</f>
        <v xml:space="preserve">GARRAFA VINHO CASA HERENCIA TINTO ESPANHA - TAP </v>
      </c>
      <c r="B6" s="4" t="s">
        <v>2917</v>
      </c>
      <c r="C6" s="5">
        <v>89.9</v>
      </c>
      <c r="D6" s="5">
        <v>59.87</v>
      </c>
      <c r="F6" s="4" t="s">
        <v>59</v>
      </c>
      <c r="G6" s="4" t="s">
        <v>3069</v>
      </c>
      <c r="H6" s="6" t="s">
        <v>11</v>
      </c>
    </row>
    <row r="7" spans="1:8" x14ac:dyDescent="0.25">
      <c r="A7" s="4" t="s">
        <v>3070</v>
      </c>
      <c r="B7" s="4" t="s">
        <v>2917</v>
      </c>
      <c r="C7" s="5">
        <v>89.9</v>
      </c>
      <c r="D7" s="5">
        <v>33.68</v>
      </c>
      <c r="F7" s="4" t="s">
        <v>59</v>
      </c>
      <c r="G7" s="4" t="s">
        <v>3071</v>
      </c>
      <c r="H7" s="6" t="s">
        <v>11</v>
      </c>
    </row>
    <row r="8" spans="1:8" x14ac:dyDescent="0.25">
      <c r="A8" s="4" t="s">
        <v>3072</v>
      </c>
      <c r="B8" s="4" t="s">
        <v>2917</v>
      </c>
      <c r="C8" s="5">
        <v>212.4</v>
      </c>
      <c r="F8" s="4" t="s">
        <v>59</v>
      </c>
      <c r="G8" s="4" t="s">
        <v>3073</v>
      </c>
      <c r="H8" s="6" t="s">
        <v>11</v>
      </c>
    </row>
    <row r="9" spans="1:8" x14ac:dyDescent="0.25">
      <c r="A9" s="4" t="s">
        <v>3074</v>
      </c>
      <c r="B9" s="4" t="s">
        <v>2917</v>
      </c>
      <c r="C9" s="5">
        <v>212.4</v>
      </c>
      <c r="D9" s="5">
        <v>128.72</v>
      </c>
      <c r="F9" s="4" t="s">
        <v>59</v>
      </c>
      <c r="G9" s="4" t="s">
        <v>3075</v>
      </c>
      <c r="H9" s="6" t="s">
        <v>11</v>
      </c>
    </row>
    <row r="10" spans="1:8" x14ac:dyDescent="0.25">
      <c r="A10" s="4" t="s">
        <v>3076</v>
      </c>
      <c r="B10" s="4" t="s">
        <v>2917</v>
      </c>
      <c r="C10" s="5">
        <v>89.9</v>
      </c>
      <c r="D10" s="5">
        <v>79.87</v>
      </c>
      <c r="F10" s="4" t="s">
        <v>59</v>
      </c>
      <c r="G10" s="4" t="s">
        <v>3077</v>
      </c>
      <c r="H10" s="6" t="s">
        <v>11</v>
      </c>
    </row>
    <row r="11" spans="1:8" x14ac:dyDescent="0.25">
      <c r="A11" s="4" t="str">
        <f>"GARRAFA VINHO POTRE BRANCO WHITE BLEND ARGENTINA - TAP "</f>
        <v xml:space="preserve">GARRAFA VINHO POTRE BRANCO WHITE BLEND ARGENTINA - TAP </v>
      </c>
      <c r="B11" s="4" t="s">
        <v>2917</v>
      </c>
      <c r="C11" s="5">
        <v>94.9</v>
      </c>
      <c r="D11" s="5">
        <v>43.91</v>
      </c>
      <c r="F11" s="4" t="s">
        <v>59</v>
      </c>
      <c r="G11" s="4" t="s">
        <v>3078</v>
      </c>
      <c r="H11" s="6" t="s">
        <v>11</v>
      </c>
    </row>
    <row r="12" spans="1:8" x14ac:dyDescent="0.25">
      <c r="A12" s="4" t="str">
        <f>"GARRAFA VINHO POTRE CABERNET SAUVIGNON ARGENTINA - TAP "</f>
        <v xml:space="preserve">GARRAFA VINHO POTRE CABERNET SAUVIGNON ARGENTINA - TAP </v>
      </c>
      <c r="B12" s="4" t="s">
        <v>2917</v>
      </c>
      <c r="C12" s="5">
        <v>94.9</v>
      </c>
      <c r="D12" s="5">
        <v>43.91</v>
      </c>
      <c r="F12" s="4" t="s">
        <v>59</v>
      </c>
      <c r="G12" s="4" t="s">
        <v>3079</v>
      </c>
      <c r="H12" s="6" t="s">
        <v>11</v>
      </c>
    </row>
    <row r="13" spans="1:8" x14ac:dyDescent="0.25">
      <c r="A13" s="4" t="s">
        <v>3080</v>
      </c>
      <c r="B13" s="4" t="s">
        <v>2917</v>
      </c>
      <c r="C13" s="5">
        <v>94.9</v>
      </c>
      <c r="D13" s="5">
        <v>43.91</v>
      </c>
      <c r="F13" s="4" t="s">
        <v>59</v>
      </c>
      <c r="G13" s="4" t="s">
        <v>3081</v>
      </c>
      <c r="H13" s="6" t="s">
        <v>11</v>
      </c>
    </row>
    <row r="14" spans="1:8" x14ac:dyDescent="0.25">
      <c r="A14" s="4" t="str">
        <f>"GARRAFA VINHO SAUVIGNON BLANC URUGUAI - TAP "</f>
        <v xml:space="preserve">GARRAFA VINHO SAUVIGNON BLANC URUGUAI - TAP </v>
      </c>
      <c r="B14" s="4" t="s">
        <v>2917</v>
      </c>
      <c r="C14" s="5">
        <v>89.9</v>
      </c>
      <c r="D14" s="5">
        <v>79.87</v>
      </c>
      <c r="F14" s="4" t="s">
        <v>59</v>
      </c>
      <c r="G14" s="4" t="s">
        <v>3082</v>
      </c>
      <c r="H14" s="6" t="s">
        <v>11</v>
      </c>
    </row>
    <row r="15" spans="1:8" x14ac:dyDescent="0.25">
      <c r="A15" s="4" t="s">
        <v>3083</v>
      </c>
      <c r="B15" s="4" t="s">
        <v>2917</v>
      </c>
      <c r="C15" s="5">
        <v>89.9</v>
      </c>
      <c r="D15" s="5">
        <v>34</v>
      </c>
      <c r="F15" s="4" t="s">
        <v>59</v>
      </c>
      <c r="G15" s="4" t="s">
        <v>3084</v>
      </c>
      <c r="H15" s="6" t="s">
        <v>11</v>
      </c>
    </row>
    <row r="16" spans="1:8" x14ac:dyDescent="0.25">
      <c r="A16" s="4" t="s">
        <v>3085</v>
      </c>
      <c r="B16" s="4" t="s">
        <v>2917</v>
      </c>
      <c r="C16" s="5">
        <v>212.4</v>
      </c>
      <c r="F16" s="4" t="s">
        <v>59</v>
      </c>
      <c r="G16" s="4" t="s">
        <v>3086</v>
      </c>
      <c r="H16" s="6" t="s">
        <v>11</v>
      </c>
    </row>
    <row r="17" spans="1:8" x14ac:dyDescent="0.25">
      <c r="A17" s="4" t="str">
        <f>"GARRAFA VINHO THE FINAL COUNTDOWN MONASTREL ESPANHA - TAP "</f>
        <v xml:space="preserve">GARRAFA VINHO THE FINAL COUNTDOWN MONASTREL ESPANHA - TAP </v>
      </c>
      <c r="B17" s="4" t="s">
        <v>2917</v>
      </c>
      <c r="C17" s="5">
        <v>212.4</v>
      </c>
      <c r="F17" s="4" t="s">
        <v>59</v>
      </c>
      <c r="G17" s="4" t="s">
        <v>3087</v>
      </c>
      <c r="H17" s="6" t="s">
        <v>11</v>
      </c>
    </row>
    <row r="18" spans="1:8" x14ac:dyDescent="0.25">
      <c r="A18" s="4" t="s">
        <v>4601</v>
      </c>
      <c r="B18" s="4" t="s">
        <v>2917</v>
      </c>
      <c r="C18" s="5">
        <v>21.9</v>
      </c>
      <c r="D18" s="5">
        <v>6.59</v>
      </c>
      <c r="F18" s="4" t="s">
        <v>59</v>
      </c>
      <c r="G18" s="4" t="s">
        <v>4602</v>
      </c>
      <c r="H18" s="6" t="s">
        <v>11</v>
      </c>
    </row>
    <row r="19" spans="1:8" x14ac:dyDescent="0.25">
      <c r="A19" s="4" t="str">
        <f>"TACA VINHO POTRE CABERNET SAUVIGNON ARGENTINA - TAP "</f>
        <v xml:space="preserve">TACA VINHO POTRE CABERNET SAUVIGNON ARGENTINA - TAP </v>
      </c>
      <c r="B19" s="4" t="s">
        <v>2917</v>
      </c>
      <c r="C19" s="5">
        <v>21.9</v>
      </c>
      <c r="D19" s="5">
        <v>6.59</v>
      </c>
      <c r="F19" s="4" t="s">
        <v>59</v>
      </c>
      <c r="G19" s="4" t="s">
        <v>4603</v>
      </c>
      <c r="H19" s="6" t="s">
        <v>11</v>
      </c>
    </row>
    <row r="20" spans="1:8" x14ac:dyDescent="0.25">
      <c r="A20" s="4" t="str">
        <f>"TACA VINHO POTRE ROSE ARGENTINA - TAP "</f>
        <v xml:space="preserve">TACA VINHO POTRE ROSE ARGENTINA - TAP </v>
      </c>
      <c r="B20" s="4" t="s">
        <v>2917</v>
      </c>
      <c r="C20" s="5">
        <v>21.9</v>
      </c>
      <c r="D20" s="5">
        <v>6.59</v>
      </c>
      <c r="F20" s="4" t="s">
        <v>59</v>
      </c>
      <c r="G20" s="4" t="s">
        <v>4604</v>
      </c>
      <c r="H20" s="6" t="s">
        <v>11</v>
      </c>
    </row>
    <row r="21" spans="1:8" x14ac:dyDescent="0.25">
      <c r="A21" s="4" t="str">
        <f>"TACA VINHO SUTIL MALBEC RESERVADO ARGENTINA - TAP "</f>
        <v xml:space="preserve">TACA VINHO SUTIL MALBEC RESERVADO ARGENTINA - TAP </v>
      </c>
      <c r="B21" s="4" t="s">
        <v>2917</v>
      </c>
      <c r="C21" s="5">
        <v>19</v>
      </c>
      <c r="D21" s="5">
        <v>5.0999999999999996</v>
      </c>
      <c r="F21" s="4" t="s">
        <v>59</v>
      </c>
      <c r="G21" s="4" t="s">
        <v>4605</v>
      </c>
      <c r="H21" s="6" t="s">
        <v>11</v>
      </c>
    </row>
    <row r="22" spans="1:8" x14ac:dyDescent="0.25">
      <c r="A22" s="4" t="str">
        <f>"VINHO CINCO SENTIDOS ANCELOTTA RESERVA ARGENTINA - TAP "</f>
        <v xml:space="preserve">VINHO CINCO SENTIDOS ANCELOTTA RESERVA ARGENTINA - TAP </v>
      </c>
      <c r="B22" s="4" t="s">
        <v>2917</v>
      </c>
      <c r="C22" s="5">
        <v>212.4</v>
      </c>
      <c r="D22" s="5">
        <v>140</v>
      </c>
      <c r="F22" s="4" t="s">
        <v>59</v>
      </c>
      <c r="G22" s="4" t="s">
        <v>4754</v>
      </c>
      <c r="H22" s="6" t="s">
        <v>11</v>
      </c>
    </row>
    <row r="23" spans="1:8" x14ac:dyDescent="0.25">
      <c r="A23" s="4" t="str">
        <f>"AGUA SANITARIA "</f>
        <v xml:space="preserve">AGUA SANITARIA </v>
      </c>
      <c r="B23" s="4" t="s">
        <v>88</v>
      </c>
      <c r="D23" s="5">
        <v>2.02</v>
      </c>
      <c r="F23" s="4" t="s">
        <v>9</v>
      </c>
      <c r="G23" s="4" t="s">
        <v>89</v>
      </c>
      <c r="H23" s="6" t="s">
        <v>11</v>
      </c>
    </row>
    <row r="24" spans="1:8" x14ac:dyDescent="0.25">
      <c r="A24" s="4" t="str">
        <f>"ALCOOL "</f>
        <v xml:space="preserve">ALCOOL </v>
      </c>
      <c r="B24" s="4" t="s">
        <v>88</v>
      </c>
      <c r="F24" s="4" t="s">
        <v>9</v>
      </c>
      <c r="G24" s="4" t="s">
        <v>103</v>
      </c>
      <c r="H24" s="6" t="s">
        <v>11</v>
      </c>
    </row>
    <row r="25" spans="1:8" x14ac:dyDescent="0.25">
      <c r="A25" s="4" t="s">
        <v>215</v>
      </c>
      <c r="B25" s="4" t="s">
        <v>88</v>
      </c>
      <c r="F25" s="4" t="s">
        <v>9</v>
      </c>
      <c r="G25" s="4" t="s">
        <v>216</v>
      </c>
      <c r="H25" s="6" t="s">
        <v>11</v>
      </c>
    </row>
    <row r="26" spans="1:8" x14ac:dyDescent="0.25">
      <c r="A26" s="4" t="s">
        <v>217</v>
      </c>
      <c r="B26" s="4" t="s">
        <v>88</v>
      </c>
      <c r="D26" s="5">
        <v>70.989999999999995</v>
      </c>
      <c r="F26" s="4" t="s">
        <v>9</v>
      </c>
      <c r="G26" s="4" t="s">
        <v>218</v>
      </c>
      <c r="H26" s="6" t="s">
        <v>11</v>
      </c>
    </row>
    <row r="27" spans="1:8" x14ac:dyDescent="0.25">
      <c r="A27" s="4" t="s">
        <v>377</v>
      </c>
      <c r="B27" s="4" t="s">
        <v>88</v>
      </c>
      <c r="F27" s="4" t="s">
        <v>9</v>
      </c>
      <c r="G27" s="4" t="s">
        <v>378</v>
      </c>
      <c r="H27" s="6" t="s">
        <v>11</v>
      </c>
    </row>
    <row r="28" spans="1:8" x14ac:dyDescent="0.25">
      <c r="A28" s="4" t="s">
        <v>426</v>
      </c>
      <c r="B28" s="4" t="s">
        <v>88</v>
      </c>
      <c r="F28" s="4" t="s">
        <v>9</v>
      </c>
      <c r="G28" s="4" t="s">
        <v>427</v>
      </c>
      <c r="H28" s="6" t="s">
        <v>11</v>
      </c>
    </row>
    <row r="29" spans="1:8" x14ac:dyDescent="0.25">
      <c r="A29" s="4" t="s">
        <v>2280</v>
      </c>
      <c r="B29" s="4" t="s">
        <v>88</v>
      </c>
      <c r="C29" s="5">
        <v>65.72</v>
      </c>
      <c r="D29" s="5">
        <v>32.86</v>
      </c>
      <c r="F29" s="4" t="s">
        <v>59</v>
      </c>
      <c r="G29" s="4" t="s">
        <v>2281</v>
      </c>
      <c r="H29" s="6" t="s">
        <v>11</v>
      </c>
    </row>
    <row r="30" spans="1:8" x14ac:dyDescent="0.25">
      <c r="A30" s="4" t="s">
        <v>2791</v>
      </c>
      <c r="B30" s="4" t="s">
        <v>88</v>
      </c>
      <c r="C30" s="5">
        <v>70.92</v>
      </c>
      <c r="D30" s="5">
        <v>35.46</v>
      </c>
      <c r="F30" s="4" t="s">
        <v>59</v>
      </c>
      <c r="G30" s="4" t="s">
        <v>2792</v>
      </c>
      <c r="H30" s="6" t="s">
        <v>11</v>
      </c>
    </row>
    <row r="31" spans="1:8" x14ac:dyDescent="0.25">
      <c r="A31" s="4" t="s">
        <v>2795</v>
      </c>
      <c r="B31" s="4" t="s">
        <v>88</v>
      </c>
      <c r="F31" s="4" t="s">
        <v>9</v>
      </c>
      <c r="G31" s="4" t="s">
        <v>2796</v>
      </c>
      <c r="H31" s="6" t="s">
        <v>11</v>
      </c>
    </row>
    <row r="32" spans="1:8" x14ac:dyDescent="0.25">
      <c r="A32" s="4" t="str">
        <f>"DISPENSER PAPEL TOALHA "</f>
        <v xml:space="preserve">DISPENSER PAPEL TOALHA </v>
      </c>
      <c r="B32" s="4" t="s">
        <v>88</v>
      </c>
      <c r="F32" s="4" t="s">
        <v>9</v>
      </c>
      <c r="G32" s="4" t="s">
        <v>2803</v>
      </c>
      <c r="H32" s="6" t="s">
        <v>11</v>
      </c>
    </row>
    <row r="33" spans="1:8" x14ac:dyDescent="0.25">
      <c r="A33" s="4" t="str">
        <f>"DISPENSER PARA SABONETE - ESTOQUE TAP "</f>
        <v xml:space="preserve">DISPENSER PARA SABONETE - ESTOQUE TAP </v>
      </c>
      <c r="B33" s="4" t="s">
        <v>88</v>
      </c>
      <c r="F33" s="4" t="s">
        <v>9</v>
      </c>
      <c r="G33" s="4" t="s">
        <v>2804</v>
      </c>
      <c r="H33" s="6" t="s">
        <v>11</v>
      </c>
    </row>
    <row r="34" spans="1:8" x14ac:dyDescent="0.25">
      <c r="A34" s="4" t="s">
        <v>2821</v>
      </c>
      <c r="B34" s="4" t="s">
        <v>88</v>
      </c>
      <c r="D34" s="5">
        <v>7.94</v>
      </c>
      <c r="F34" s="4" t="s">
        <v>9</v>
      </c>
      <c r="G34" s="4" t="s">
        <v>2822</v>
      </c>
      <c r="H34" s="6" t="s">
        <v>11</v>
      </c>
    </row>
    <row r="35" spans="1:8" x14ac:dyDescent="0.25">
      <c r="A35" s="4" t="s">
        <v>2823</v>
      </c>
      <c r="B35" s="4" t="s">
        <v>88</v>
      </c>
      <c r="D35" s="5">
        <v>13</v>
      </c>
      <c r="F35" s="4" t="s">
        <v>9</v>
      </c>
      <c r="G35" s="4" t="s">
        <v>2824</v>
      </c>
      <c r="H35" s="6" t="s">
        <v>11</v>
      </c>
    </row>
    <row r="36" spans="1:8" x14ac:dyDescent="0.25">
      <c r="A36" s="4" t="s">
        <v>2825</v>
      </c>
      <c r="B36" s="4" t="s">
        <v>88</v>
      </c>
      <c r="F36" s="4" t="s">
        <v>9</v>
      </c>
      <c r="G36" s="4" t="s">
        <v>2826</v>
      </c>
      <c r="H36" s="6" t="s">
        <v>11</v>
      </c>
    </row>
    <row r="37" spans="1:8" x14ac:dyDescent="0.25">
      <c r="A37" s="4" t="s">
        <v>2827</v>
      </c>
      <c r="B37" s="4" t="s">
        <v>88</v>
      </c>
      <c r="F37" s="4" t="s">
        <v>9</v>
      </c>
      <c r="G37" s="4" t="s">
        <v>2828</v>
      </c>
      <c r="H37" s="6" t="s">
        <v>11</v>
      </c>
    </row>
    <row r="38" spans="1:8" x14ac:dyDescent="0.25">
      <c r="A38" s="4" t="s">
        <v>2829</v>
      </c>
      <c r="B38" s="4" t="s">
        <v>88</v>
      </c>
      <c r="F38" s="4" t="s">
        <v>9</v>
      </c>
      <c r="G38" s="4" t="s">
        <v>2830</v>
      </c>
      <c r="H38" s="6" t="s">
        <v>11</v>
      </c>
    </row>
    <row r="39" spans="1:8" x14ac:dyDescent="0.25">
      <c r="A39" s="4" t="s">
        <v>2831</v>
      </c>
      <c r="B39" s="4" t="s">
        <v>88</v>
      </c>
      <c r="F39" s="4" t="s">
        <v>9</v>
      </c>
      <c r="G39" s="4" t="s">
        <v>2832</v>
      </c>
      <c r="H39" s="6" t="s">
        <v>11</v>
      </c>
    </row>
    <row r="40" spans="1:8" x14ac:dyDescent="0.25">
      <c r="A40" s="4" t="s">
        <v>2833</v>
      </c>
      <c r="B40" s="4" t="s">
        <v>88</v>
      </c>
      <c r="F40" s="4" t="s">
        <v>9</v>
      </c>
      <c r="G40" s="4" t="s">
        <v>2834</v>
      </c>
      <c r="H40" s="6" t="s">
        <v>11</v>
      </c>
    </row>
    <row r="41" spans="1:8" x14ac:dyDescent="0.25">
      <c r="A41" s="4" t="s">
        <v>2835</v>
      </c>
      <c r="B41" s="4" t="s">
        <v>88</v>
      </c>
      <c r="F41" s="4" t="s">
        <v>9</v>
      </c>
      <c r="G41" s="4" t="s">
        <v>2836</v>
      </c>
      <c r="H41" s="6" t="s">
        <v>11</v>
      </c>
    </row>
    <row r="42" spans="1:8" x14ac:dyDescent="0.25">
      <c r="A42" s="4" t="s">
        <v>2837</v>
      </c>
      <c r="B42" s="4" t="s">
        <v>88</v>
      </c>
      <c r="D42" s="5">
        <v>25.49</v>
      </c>
      <c r="F42" s="4" t="s">
        <v>9</v>
      </c>
      <c r="G42" s="4" t="s">
        <v>2838</v>
      </c>
      <c r="H42" s="6" t="s">
        <v>11</v>
      </c>
    </row>
    <row r="43" spans="1:8" x14ac:dyDescent="0.25">
      <c r="A43" s="4" t="s">
        <v>2839</v>
      </c>
      <c r="B43" s="4" t="s">
        <v>88</v>
      </c>
      <c r="F43" s="4" t="s">
        <v>9</v>
      </c>
      <c r="G43" s="4" t="s">
        <v>2840</v>
      </c>
      <c r="H43" s="6" t="s">
        <v>11</v>
      </c>
    </row>
    <row r="44" spans="1:8" x14ac:dyDescent="0.25">
      <c r="A44" s="4" t="s">
        <v>2841</v>
      </c>
      <c r="B44" s="4" t="s">
        <v>88</v>
      </c>
      <c r="F44" s="4" t="s">
        <v>9</v>
      </c>
      <c r="G44" s="4" t="s">
        <v>2842</v>
      </c>
      <c r="H44" s="6" t="s">
        <v>11</v>
      </c>
    </row>
    <row r="45" spans="1:8" x14ac:dyDescent="0.25">
      <c r="A45" s="4" t="s">
        <v>2843</v>
      </c>
      <c r="B45" s="4" t="s">
        <v>88</v>
      </c>
      <c r="F45" s="4" t="s">
        <v>9</v>
      </c>
      <c r="G45" s="4" t="s">
        <v>2844</v>
      </c>
      <c r="H45" s="6" t="s">
        <v>11</v>
      </c>
    </row>
    <row r="46" spans="1:8" x14ac:dyDescent="0.25">
      <c r="A46" s="4" t="s">
        <v>2845</v>
      </c>
      <c r="B46" s="4" t="s">
        <v>88</v>
      </c>
      <c r="F46" s="4" t="s">
        <v>9</v>
      </c>
      <c r="G46" s="4" t="s">
        <v>2846</v>
      </c>
      <c r="H46" s="6" t="s">
        <v>11</v>
      </c>
    </row>
    <row r="47" spans="1:8" x14ac:dyDescent="0.25">
      <c r="A47" s="4" t="s">
        <v>2847</v>
      </c>
      <c r="B47" s="4" t="s">
        <v>88</v>
      </c>
      <c r="F47" s="4" t="s">
        <v>9</v>
      </c>
      <c r="G47" s="4" t="s">
        <v>2848</v>
      </c>
      <c r="H47" s="6" t="s">
        <v>11</v>
      </c>
    </row>
    <row r="48" spans="1:8" x14ac:dyDescent="0.25">
      <c r="A48" s="4" t="s">
        <v>2849</v>
      </c>
      <c r="B48" s="4" t="s">
        <v>88</v>
      </c>
      <c r="F48" s="4" t="s">
        <v>9</v>
      </c>
      <c r="G48" s="4" t="s">
        <v>2850</v>
      </c>
      <c r="H48" s="6" t="s">
        <v>11</v>
      </c>
    </row>
    <row r="49" spans="1:8" x14ac:dyDescent="0.25">
      <c r="A49" s="4" t="s">
        <v>2851</v>
      </c>
      <c r="B49" s="4" t="s">
        <v>88</v>
      </c>
      <c r="F49" s="4" t="s">
        <v>9</v>
      </c>
      <c r="G49" s="4" t="s">
        <v>2852</v>
      </c>
      <c r="H49" s="6" t="s">
        <v>11</v>
      </c>
    </row>
    <row r="50" spans="1:8" x14ac:dyDescent="0.25">
      <c r="A50" s="4" t="s">
        <v>2853</v>
      </c>
      <c r="B50" s="4" t="s">
        <v>88</v>
      </c>
      <c r="F50" s="4" t="s">
        <v>9</v>
      </c>
      <c r="G50" s="4" t="s">
        <v>2854</v>
      </c>
      <c r="H50" s="6" t="s">
        <v>11</v>
      </c>
    </row>
    <row r="51" spans="1:8" x14ac:dyDescent="0.25">
      <c r="A51" s="4" t="s">
        <v>2892</v>
      </c>
      <c r="B51" s="4" t="s">
        <v>88</v>
      </c>
      <c r="F51" s="4" t="s">
        <v>9</v>
      </c>
      <c r="G51" s="4" t="s">
        <v>2893</v>
      </c>
      <c r="H51" s="6" t="s">
        <v>11</v>
      </c>
    </row>
    <row r="52" spans="1:8" x14ac:dyDescent="0.25">
      <c r="A52" s="4" t="s">
        <v>2894</v>
      </c>
      <c r="B52" s="4" t="s">
        <v>88</v>
      </c>
      <c r="F52" s="4" t="s">
        <v>9</v>
      </c>
      <c r="G52" s="4" t="s">
        <v>2895</v>
      </c>
      <c r="H52" s="6" t="s">
        <v>11</v>
      </c>
    </row>
    <row r="53" spans="1:8" x14ac:dyDescent="0.25">
      <c r="A53" s="4" t="s">
        <v>2898</v>
      </c>
      <c r="B53" s="4" t="s">
        <v>88</v>
      </c>
      <c r="F53" s="4" t="s">
        <v>9</v>
      </c>
      <c r="G53" s="4" t="s">
        <v>2899</v>
      </c>
      <c r="H53" s="6" t="s">
        <v>11</v>
      </c>
    </row>
    <row r="54" spans="1:8" x14ac:dyDescent="0.25">
      <c r="A54" s="4" t="str">
        <f>"ESPONJA "</f>
        <v xml:space="preserve">ESPONJA </v>
      </c>
      <c r="B54" s="4" t="s">
        <v>88</v>
      </c>
      <c r="F54" s="4" t="s">
        <v>9</v>
      </c>
      <c r="G54" s="4" t="s">
        <v>2901</v>
      </c>
      <c r="H54" s="6" t="s">
        <v>11</v>
      </c>
    </row>
    <row r="55" spans="1:8" x14ac:dyDescent="0.25">
      <c r="A55" s="4" t="s">
        <v>2989</v>
      </c>
      <c r="B55" s="4" t="s">
        <v>88</v>
      </c>
      <c r="F55" s="4" t="s">
        <v>9</v>
      </c>
      <c r="G55" s="4" t="s">
        <v>2990</v>
      </c>
      <c r="H55" s="6" t="s">
        <v>11</v>
      </c>
    </row>
    <row r="56" spans="1:8" x14ac:dyDescent="0.25">
      <c r="A56" s="4" t="s">
        <v>3268</v>
      </c>
      <c r="B56" s="4" t="s">
        <v>88</v>
      </c>
      <c r="F56" s="4" t="s">
        <v>9</v>
      </c>
      <c r="G56" s="4" t="s">
        <v>3269</v>
      </c>
      <c r="H56" s="6" t="s">
        <v>11</v>
      </c>
    </row>
    <row r="57" spans="1:8" x14ac:dyDescent="0.25">
      <c r="A57" s="4" t="s">
        <v>3279</v>
      </c>
      <c r="B57" s="4" t="s">
        <v>88</v>
      </c>
      <c r="F57" s="4" t="s">
        <v>9</v>
      </c>
      <c r="G57" s="4" t="s">
        <v>3280</v>
      </c>
      <c r="H57" s="6" t="s">
        <v>11</v>
      </c>
    </row>
    <row r="58" spans="1:8" x14ac:dyDescent="0.25">
      <c r="A58" s="4" t="str">
        <f>"LIMPA ALUMINIO "</f>
        <v xml:space="preserve">LIMPA ALUMINIO </v>
      </c>
      <c r="B58" s="4" t="s">
        <v>88</v>
      </c>
      <c r="F58" s="4" t="s">
        <v>9</v>
      </c>
      <c r="G58" s="4" t="s">
        <v>3340</v>
      </c>
      <c r="H58" s="6" t="s">
        <v>11</v>
      </c>
    </row>
    <row r="59" spans="1:8" x14ac:dyDescent="0.25">
      <c r="A59" s="4" t="s">
        <v>3341</v>
      </c>
      <c r="B59" s="4" t="s">
        <v>88</v>
      </c>
      <c r="D59" s="5">
        <v>13.17</v>
      </c>
      <c r="F59" s="4" t="s">
        <v>59</v>
      </c>
      <c r="G59" s="4" t="s">
        <v>3342</v>
      </c>
      <c r="H59" s="6" t="s">
        <v>11</v>
      </c>
    </row>
    <row r="60" spans="1:8" x14ac:dyDescent="0.25">
      <c r="A60" s="4" t="s">
        <v>3343</v>
      </c>
      <c r="B60" s="4" t="s">
        <v>88</v>
      </c>
      <c r="F60" s="4" t="s">
        <v>9</v>
      </c>
      <c r="G60" s="4" t="s">
        <v>3344</v>
      </c>
      <c r="H60" s="6" t="s">
        <v>11</v>
      </c>
    </row>
    <row r="61" spans="1:8" x14ac:dyDescent="0.25">
      <c r="A61" s="4" t="str">
        <f>"LIXEIRA "</f>
        <v xml:space="preserve">LIXEIRA </v>
      </c>
      <c r="B61" s="4" t="s">
        <v>88</v>
      </c>
      <c r="F61" s="4" t="s">
        <v>9</v>
      </c>
      <c r="G61" s="4" t="s">
        <v>3362</v>
      </c>
      <c r="H61" s="6" t="s">
        <v>11</v>
      </c>
    </row>
    <row r="62" spans="1:8" x14ac:dyDescent="0.25">
      <c r="A62" s="4" t="s">
        <v>3371</v>
      </c>
      <c r="B62" s="4" t="s">
        <v>88</v>
      </c>
      <c r="F62" s="4" t="s">
        <v>9</v>
      </c>
      <c r="G62" s="4" t="s">
        <v>3372</v>
      </c>
      <c r="H62" s="6" t="s">
        <v>11</v>
      </c>
    </row>
    <row r="63" spans="1:8" x14ac:dyDescent="0.25">
      <c r="A63" s="4" t="s">
        <v>3378</v>
      </c>
      <c r="B63" s="4" t="s">
        <v>88</v>
      </c>
      <c r="F63" s="4" t="s">
        <v>9</v>
      </c>
      <c r="G63" s="4" t="s">
        <v>3379</v>
      </c>
      <c r="H63" s="6" t="s">
        <v>11</v>
      </c>
    </row>
    <row r="64" spans="1:8" x14ac:dyDescent="0.25">
      <c r="A64" s="4" t="s">
        <v>3380</v>
      </c>
      <c r="B64" s="4" t="s">
        <v>88</v>
      </c>
      <c r="F64" s="4" t="s">
        <v>9</v>
      </c>
      <c r="G64" s="4" t="s">
        <v>3381</v>
      </c>
      <c r="H64" s="6" t="s">
        <v>11</v>
      </c>
    </row>
    <row r="65" spans="1:8" x14ac:dyDescent="0.25">
      <c r="A65" s="4" t="s">
        <v>3392</v>
      </c>
      <c r="B65" s="4" t="s">
        <v>88</v>
      </c>
      <c r="F65" s="4" t="s">
        <v>9</v>
      </c>
      <c r="G65" s="4" t="s">
        <v>3393</v>
      </c>
      <c r="H65" s="6" t="s">
        <v>11</v>
      </c>
    </row>
    <row r="66" spans="1:8" x14ac:dyDescent="0.25">
      <c r="A66" s="4" t="s">
        <v>3394</v>
      </c>
      <c r="B66" s="4" t="s">
        <v>88</v>
      </c>
      <c r="F66" s="4" t="s">
        <v>9</v>
      </c>
      <c r="G66" s="4" t="s">
        <v>3395</v>
      </c>
      <c r="H66" s="6" t="s">
        <v>11</v>
      </c>
    </row>
    <row r="67" spans="1:8" x14ac:dyDescent="0.25">
      <c r="A67" s="4" t="s">
        <v>3396</v>
      </c>
      <c r="B67" s="4" t="s">
        <v>88</v>
      </c>
      <c r="D67" s="5">
        <v>33.270000000000003</v>
      </c>
      <c r="F67" s="4" t="s">
        <v>9</v>
      </c>
      <c r="G67" s="4" t="s">
        <v>3397</v>
      </c>
      <c r="H67" s="6" t="s">
        <v>11</v>
      </c>
    </row>
    <row r="68" spans="1:8" x14ac:dyDescent="0.25">
      <c r="A68" s="4" t="s">
        <v>3398</v>
      </c>
      <c r="B68" s="4" t="s">
        <v>88</v>
      </c>
      <c r="D68" s="5">
        <v>8.51</v>
      </c>
      <c r="F68" s="4" t="s">
        <v>9</v>
      </c>
      <c r="G68" s="4" t="s">
        <v>3399</v>
      </c>
      <c r="H68" s="6" t="s">
        <v>11</v>
      </c>
    </row>
    <row r="69" spans="1:8" x14ac:dyDescent="0.25">
      <c r="A69" s="4" t="s">
        <v>3404</v>
      </c>
      <c r="B69" s="4" t="s">
        <v>88</v>
      </c>
      <c r="D69" s="5">
        <v>203.4</v>
      </c>
      <c r="F69" s="4" t="s">
        <v>9</v>
      </c>
      <c r="G69" s="4" t="s">
        <v>3405</v>
      </c>
      <c r="H69" s="6" t="s">
        <v>11</v>
      </c>
    </row>
    <row r="70" spans="1:8" x14ac:dyDescent="0.25">
      <c r="A70" s="4" t="s">
        <v>3406</v>
      </c>
      <c r="B70" s="4" t="s">
        <v>88</v>
      </c>
      <c r="F70" s="4" t="s">
        <v>9</v>
      </c>
      <c r="G70" s="4" t="s">
        <v>3407</v>
      </c>
      <c r="H70" s="6" t="s">
        <v>11</v>
      </c>
    </row>
    <row r="71" spans="1:8" x14ac:dyDescent="0.25">
      <c r="A71" s="4" t="s">
        <v>3882</v>
      </c>
      <c r="B71" s="4" t="s">
        <v>88</v>
      </c>
      <c r="D71" s="5">
        <v>0.14000000000000001</v>
      </c>
      <c r="F71" s="4" t="s">
        <v>9</v>
      </c>
      <c r="G71" s="4" t="s">
        <v>3883</v>
      </c>
      <c r="H71" s="6" t="s">
        <v>11</v>
      </c>
    </row>
    <row r="72" spans="1:8" x14ac:dyDescent="0.25">
      <c r="A72" s="4" t="s">
        <v>3884</v>
      </c>
      <c r="B72" s="4" t="s">
        <v>88</v>
      </c>
      <c r="F72" s="4" t="s">
        <v>9</v>
      </c>
      <c r="G72" s="4" t="s">
        <v>3885</v>
      </c>
      <c r="H72" s="6" t="s">
        <v>11</v>
      </c>
    </row>
    <row r="73" spans="1:8" x14ac:dyDescent="0.25">
      <c r="A73" s="4" t="s">
        <v>3890</v>
      </c>
      <c r="B73" s="4" t="s">
        <v>88</v>
      </c>
      <c r="D73" s="5">
        <v>4.0599999999999996</v>
      </c>
      <c r="F73" s="4" t="s">
        <v>9</v>
      </c>
      <c r="G73" s="4" t="s">
        <v>3891</v>
      </c>
      <c r="H73" s="6" t="s">
        <v>11</v>
      </c>
    </row>
    <row r="74" spans="1:8" x14ac:dyDescent="0.25">
      <c r="A74" s="4" t="s">
        <v>3892</v>
      </c>
      <c r="B74" s="4" t="s">
        <v>88</v>
      </c>
      <c r="F74" s="4" t="s">
        <v>59</v>
      </c>
      <c r="G74" s="4" t="s">
        <v>3893</v>
      </c>
      <c r="H74" s="6" t="s">
        <v>11</v>
      </c>
    </row>
    <row r="75" spans="1:8" x14ac:dyDescent="0.25">
      <c r="A75" s="4" t="s">
        <v>3900</v>
      </c>
      <c r="B75" s="4" t="s">
        <v>88</v>
      </c>
      <c r="F75" s="4" t="s">
        <v>9</v>
      </c>
      <c r="G75" s="4" t="s">
        <v>3901</v>
      </c>
      <c r="H75" s="6" t="s">
        <v>11</v>
      </c>
    </row>
    <row r="76" spans="1:8" x14ac:dyDescent="0.25">
      <c r="A76" s="4" t="s">
        <v>3957</v>
      </c>
      <c r="B76" s="4" t="s">
        <v>88</v>
      </c>
      <c r="F76" s="4" t="s">
        <v>9</v>
      </c>
      <c r="G76" s="4" t="s">
        <v>3958</v>
      </c>
      <c r="H76" s="6" t="s">
        <v>11</v>
      </c>
    </row>
    <row r="77" spans="1:8" x14ac:dyDescent="0.25">
      <c r="A77" s="4" t="s">
        <v>3969</v>
      </c>
      <c r="B77" s="4" t="s">
        <v>88</v>
      </c>
      <c r="F77" s="4" t="s">
        <v>9</v>
      </c>
      <c r="G77" s="4" t="s">
        <v>3970</v>
      </c>
      <c r="H77" s="6" t="s">
        <v>11</v>
      </c>
    </row>
    <row r="78" spans="1:8" x14ac:dyDescent="0.25">
      <c r="A78" s="4" t="s">
        <v>3971</v>
      </c>
      <c r="B78" s="4" t="s">
        <v>88</v>
      </c>
      <c r="F78" s="4" t="s">
        <v>9</v>
      </c>
      <c r="G78" s="4" t="s">
        <v>3972</v>
      </c>
      <c r="H78" s="6" t="s">
        <v>11</v>
      </c>
    </row>
    <row r="79" spans="1:8" x14ac:dyDescent="0.25">
      <c r="A79" s="4" t="s">
        <v>3973</v>
      </c>
      <c r="B79" s="4" t="s">
        <v>88</v>
      </c>
      <c r="F79" s="4" t="s">
        <v>9</v>
      </c>
      <c r="G79" s="4" t="s">
        <v>3974</v>
      </c>
      <c r="H79" s="6" t="s">
        <v>11</v>
      </c>
    </row>
    <row r="80" spans="1:8" x14ac:dyDescent="0.25">
      <c r="A80" s="4" t="s">
        <v>3988</v>
      </c>
      <c r="B80" s="4" t="s">
        <v>88</v>
      </c>
      <c r="F80" s="4" t="s">
        <v>9</v>
      </c>
      <c r="G80" s="4" t="s">
        <v>3989</v>
      </c>
      <c r="H80" s="6" t="s">
        <v>11</v>
      </c>
    </row>
    <row r="81" spans="1:8" x14ac:dyDescent="0.25">
      <c r="A81" s="4" t="s">
        <v>3990</v>
      </c>
      <c r="B81" s="4" t="s">
        <v>88</v>
      </c>
      <c r="D81" s="5">
        <v>6.23</v>
      </c>
      <c r="F81" s="4" t="s">
        <v>9</v>
      </c>
      <c r="G81" s="4" t="s">
        <v>3991</v>
      </c>
      <c r="H81" s="6" t="s">
        <v>11</v>
      </c>
    </row>
    <row r="82" spans="1:8" x14ac:dyDescent="0.25">
      <c r="A82" s="4" t="s">
        <v>3994</v>
      </c>
      <c r="B82" s="4" t="s">
        <v>88</v>
      </c>
      <c r="F82" s="4" t="s">
        <v>9</v>
      </c>
      <c r="G82" s="4" t="s">
        <v>3995</v>
      </c>
      <c r="H82" s="6" t="s">
        <v>11</v>
      </c>
    </row>
    <row r="83" spans="1:8" x14ac:dyDescent="0.25">
      <c r="A83" s="4" t="s">
        <v>4069</v>
      </c>
      <c r="B83" s="4" t="s">
        <v>88</v>
      </c>
      <c r="F83" s="4" t="s">
        <v>9</v>
      </c>
      <c r="G83" s="4" t="s">
        <v>4070</v>
      </c>
      <c r="H83" s="6" t="s">
        <v>11</v>
      </c>
    </row>
    <row r="84" spans="1:8" x14ac:dyDescent="0.25">
      <c r="A84" s="4" t="s">
        <v>4208</v>
      </c>
      <c r="B84" s="4" t="s">
        <v>88</v>
      </c>
      <c r="D84" s="5">
        <v>5.35</v>
      </c>
      <c r="F84" s="4" t="s">
        <v>9</v>
      </c>
      <c r="G84" s="4" t="s">
        <v>4209</v>
      </c>
      <c r="H84" s="6" t="s">
        <v>11</v>
      </c>
    </row>
    <row r="85" spans="1:8" x14ac:dyDescent="0.25">
      <c r="A85" s="4" t="s">
        <v>4210</v>
      </c>
      <c r="B85" s="4" t="s">
        <v>88</v>
      </c>
      <c r="F85" s="4" t="s">
        <v>9</v>
      </c>
      <c r="G85" s="4" t="s">
        <v>4211</v>
      </c>
      <c r="H85" s="6" t="s">
        <v>11</v>
      </c>
    </row>
    <row r="86" spans="1:8" x14ac:dyDescent="0.25">
      <c r="A86" s="4" t="s">
        <v>4212</v>
      </c>
      <c r="B86" s="4" t="s">
        <v>88</v>
      </c>
      <c r="F86" s="4" t="s">
        <v>9</v>
      </c>
      <c r="G86" s="4" t="s">
        <v>4213</v>
      </c>
      <c r="H86" s="6" t="s">
        <v>11</v>
      </c>
    </row>
    <row r="87" spans="1:8" x14ac:dyDescent="0.25">
      <c r="A87" s="4" t="s">
        <v>4275</v>
      </c>
      <c r="B87" s="4" t="s">
        <v>88</v>
      </c>
      <c r="F87" s="4" t="s">
        <v>9</v>
      </c>
      <c r="G87" s="4" t="s">
        <v>4276</v>
      </c>
      <c r="H87" s="6" t="s">
        <v>11</v>
      </c>
    </row>
    <row r="88" spans="1:8" x14ac:dyDescent="0.25">
      <c r="A88" s="4" t="s">
        <v>4341</v>
      </c>
      <c r="B88" s="4" t="s">
        <v>88</v>
      </c>
      <c r="F88" s="4" t="s">
        <v>9</v>
      </c>
      <c r="G88" s="4" t="s">
        <v>4342</v>
      </c>
      <c r="H88" s="6" t="s">
        <v>11</v>
      </c>
    </row>
    <row r="89" spans="1:8" x14ac:dyDescent="0.25">
      <c r="A89" s="4" t="s">
        <v>4369</v>
      </c>
      <c r="B89" s="4" t="s">
        <v>88</v>
      </c>
      <c r="F89" s="4" t="s">
        <v>9</v>
      </c>
      <c r="G89" s="4" t="s">
        <v>4370</v>
      </c>
      <c r="H89" s="6" t="s">
        <v>11</v>
      </c>
    </row>
    <row r="90" spans="1:8" x14ac:dyDescent="0.25">
      <c r="A90" s="4" t="s">
        <v>4371</v>
      </c>
      <c r="B90" s="4" t="s">
        <v>88</v>
      </c>
      <c r="F90" s="4" t="s">
        <v>9</v>
      </c>
      <c r="G90" s="4" t="s">
        <v>4372</v>
      </c>
      <c r="H90" s="6" t="s">
        <v>11</v>
      </c>
    </row>
    <row r="91" spans="1:8" x14ac:dyDescent="0.25">
      <c r="A91" s="4" t="s">
        <v>4373</v>
      </c>
      <c r="B91" s="4" t="s">
        <v>88</v>
      </c>
      <c r="F91" s="4" t="s">
        <v>9</v>
      </c>
      <c r="G91" s="4" t="s">
        <v>4374</v>
      </c>
      <c r="H91" s="6" t="s">
        <v>11</v>
      </c>
    </row>
    <row r="92" spans="1:8" x14ac:dyDescent="0.25">
      <c r="A92" s="4" t="s">
        <v>4375</v>
      </c>
      <c r="B92" s="4" t="s">
        <v>88</v>
      </c>
      <c r="F92" s="4" t="s">
        <v>9</v>
      </c>
      <c r="G92" s="4" t="s">
        <v>4376</v>
      </c>
      <c r="H92" s="6" t="s">
        <v>11</v>
      </c>
    </row>
    <row r="93" spans="1:8" x14ac:dyDescent="0.25">
      <c r="A93" s="4" t="s">
        <v>4377</v>
      </c>
      <c r="B93" s="4" t="s">
        <v>88</v>
      </c>
      <c r="F93" s="4" t="s">
        <v>9</v>
      </c>
      <c r="G93" s="4" t="s">
        <v>4378</v>
      </c>
      <c r="H93" s="6" t="s">
        <v>11</v>
      </c>
    </row>
    <row r="94" spans="1:8" x14ac:dyDescent="0.25">
      <c r="A94" s="4" t="s">
        <v>4381</v>
      </c>
      <c r="B94" s="4" t="s">
        <v>88</v>
      </c>
      <c r="F94" s="4" t="s">
        <v>9</v>
      </c>
      <c r="G94" s="4" t="s">
        <v>4382</v>
      </c>
      <c r="H94" s="6" t="s">
        <v>11</v>
      </c>
    </row>
    <row r="95" spans="1:8" x14ac:dyDescent="0.25">
      <c r="A95" s="4" t="s">
        <v>4383</v>
      </c>
      <c r="B95" s="4" t="s">
        <v>88</v>
      </c>
      <c r="F95" s="4" t="s">
        <v>9</v>
      </c>
      <c r="G95" s="4" t="s">
        <v>4384</v>
      </c>
      <c r="H95" s="6" t="s">
        <v>11</v>
      </c>
    </row>
    <row r="96" spans="1:8" x14ac:dyDescent="0.25">
      <c r="A96" s="4" t="s">
        <v>4385</v>
      </c>
      <c r="B96" s="4" t="s">
        <v>88</v>
      </c>
      <c r="F96" s="4" t="s">
        <v>9</v>
      </c>
      <c r="G96" s="4" t="s">
        <v>4386</v>
      </c>
      <c r="H96" s="6" t="s">
        <v>11</v>
      </c>
    </row>
    <row r="97" spans="1:8" x14ac:dyDescent="0.25">
      <c r="A97" s="4" t="s">
        <v>4387</v>
      </c>
      <c r="B97" s="4" t="s">
        <v>88</v>
      </c>
      <c r="F97" s="4" t="s">
        <v>9</v>
      </c>
      <c r="G97" s="4" t="s">
        <v>4388</v>
      </c>
      <c r="H97" s="6" t="s">
        <v>11</v>
      </c>
    </row>
    <row r="98" spans="1:8" x14ac:dyDescent="0.25">
      <c r="A98" s="4" t="s">
        <v>4389</v>
      </c>
      <c r="B98" s="4" t="s">
        <v>88</v>
      </c>
      <c r="F98" s="4" t="s">
        <v>9</v>
      </c>
      <c r="G98" s="4" t="s">
        <v>4390</v>
      </c>
      <c r="H98" s="6" t="s">
        <v>11</v>
      </c>
    </row>
    <row r="99" spans="1:8" x14ac:dyDescent="0.25">
      <c r="A99" s="4" t="str">
        <f>"SABONETE "</f>
        <v xml:space="preserve">SABONETE </v>
      </c>
      <c r="B99" s="4" t="s">
        <v>88</v>
      </c>
      <c r="F99" s="4" t="s">
        <v>59</v>
      </c>
      <c r="G99" s="4" t="s">
        <v>4395</v>
      </c>
      <c r="H99" s="6" t="s">
        <v>11</v>
      </c>
    </row>
    <row r="100" spans="1:8" x14ac:dyDescent="0.25">
      <c r="A100" s="4" t="str">
        <f>"SACO DE LIXO "</f>
        <v xml:space="preserve">SACO DE LIXO </v>
      </c>
      <c r="B100" s="4" t="s">
        <v>88</v>
      </c>
      <c r="F100" s="4" t="s">
        <v>9</v>
      </c>
      <c r="G100" s="4" t="s">
        <v>4404</v>
      </c>
      <c r="H100" s="6" t="s">
        <v>11</v>
      </c>
    </row>
    <row r="101" spans="1:8" x14ac:dyDescent="0.25">
      <c r="A101" s="4" t="str">
        <f>"SECANTE PARA MAQUINAS "</f>
        <v xml:space="preserve">SECANTE PARA MAQUINAS </v>
      </c>
      <c r="B101" s="4" t="s">
        <v>88</v>
      </c>
      <c r="F101" s="4" t="s">
        <v>9</v>
      </c>
      <c r="G101" s="4" t="s">
        <v>4444</v>
      </c>
      <c r="H101" s="6" t="s">
        <v>11</v>
      </c>
    </row>
    <row r="102" spans="1:8" x14ac:dyDescent="0.25">
      <c r="A102" s="4" t="s">
        <v>4515</v>
      </c>
      <c r="B102" s="4" t="s">
        <v>88</v>
      </c>
      <c r="D102" s="5">
        <v>13.64</v>
      </c>
      <c r="F102" s="4" t="s">
        <v>9</v>
      </c>
      <c r="G102" s="4" t="s">
        <v>4516</v>
      </c>
      <c r="H102" s="6" t="s">
        <v>11</v>
      </c>
    </row>
    <row r="103" spans="1:8" x14ac:dyDescent="0.25">
      <c r="A103" s="4" t="s">
        <v>4517</v>
      </c>
      <c r="B103" s="4" t="s">
        <v>88</v>
      </c>
      <c r="F103" s="4" t="s">
        <v>9</v>
      </c>
      <c r="G103" s="4" t="s">
        <v>4518</v>
      </c>
      <c r="H103" s="6" t="s">
        <v>11</v>
      </c>
    </row>
    <row r="104" spans="1:8" x14ac:dyDescent="0.25">
      <c r="A104" s="4" t="s">
        <v>4519</v>
      </c>
      <c r="B104" s="4" t="s">
        <v>88</v>
      </c>
      <c r="F104" s="4" t="s">
        <v>9</v>
      </c>
      <c r="G104" s="4" t="s">
        <v>4520</v>
      </c>
      <c r="H104" s="6" t="s">
        <v>11</v>
      </c>
    </row>
    <row r="105" spans="1:8" x14ac:dyDescent="0.25">
      <c r="A105" s="4" t="s">
        <v>4521</v>
      </c>
      <c r="B105" s="4" t="s">
        <v>88</v>
      </c>
      <c r="F105" s="4" t="s">
        <v>9</v>
      </c>
      <c r="G105" s="4" t="s">
        <v>4522</v>
      </c>
      <c r="H105" s="6" t="s">
        <v>11</v>
      </c>
    </row>
    <row r="106" spans="1:8" x14ac:dyDescent="0.25">
      <c r="A106" s="4" t="s">
        <v>4523</v>
      </c>
      <c r="B106" s="4" t="s">
        <v>88</v>
      </c>
      <c r="F106" s="4" t="s">
        <v>9</v>
      </c>
      <c r="G106" s="4" t="s">
        <v>4524</v>
      </c>
      <c r="H106" s="6" t="s">
        <v>11</v>
      </c>
    </row>
    <row r="107" spans="1:8" x14ac:dyDescent="0.25">
      <c r="A107" s="4" t="s">
        <v>4525</v>
      </c>
      <c r="B107" s="4" t="s">
        <v>88</v>
      </c>
      <c r="D107" s="5">
        <v>63.89</v>
      </c>
      <c r="F107" s="4" t="s">
        <v>9</v>
      </c>
      <c r="G107" s="4" t="s">
        <v>4526</v>
      </c>
      <c r="H107" s="6" t="s">
        <v>11</v>
      </c>
    </row>
    <row r="108" spans="1:8" x14ac:dyDescent="0.25">
      <c r="A108" s="4" t="s">
        <v>4527</v>
      </c>
      <c r="B108" s="4" t="s">
        <v>88</v>
      </c>
      <c r="F108" s="4" t="s">
        <v>9</v>
      </c>
      <c r="G108" s="4" t="s">
        <v>4528</v>
      </c>
      <c r="H108" s="6" t="s">
        <v>11</v>
      </c>
    </row>
    <row r="109" spans="1:8" x14ac:dyDescent="0.25">
      <c r="A109" s="4" t="s">
        <v>4529</v>
      </c>
      <c r="B109" s="4" t="s">
        <v>88</v>
      </c>
      <c r="F109" s="4" t="s">
        <v>9</v>
      </c>
      <c r="G109" s="4" t="s">
        <v>4530</v>
      </c>
      <c r="H109" s="6" t="s">
        <v>11</v>
      </c>
    </row>
    <row r="110" spans="1:8" x14ac:dyDescent="0.25">
      <c r="A110" s="4" t="s">
        <v>4531</v>
      </c>
      <c r="B110" s="4" t="s">
        <v>88</v>
      </c>
      <c r="D110" s="5">
        <v>16.98</v>
      </c>
      <c r="F110" s="4" t="s">
        <v>9</v>
      </c>
      <c r="G110" s="4" t="s">
        <v>4532</v>
      </c>
      <c r="H110" s="6" t="s">
        <v>11</v>
      </c>
    </row>
    <row r="111" spans="1:8" x14ac:dyDescent="0.25">
      <c r="A111" s="4" t="s">
        <v>4533</v>
      </c>
      <c r="B111" s="4" t="s">
        <v>88</v>
      </c>
      <c r="F111" s="4" t="s">
        <v>9</v>
      </c>
      <c r="G111" s="4" t="s">
        <v>4534</v>
      </c>
      <c r="H111" s="6" t="s">
        <v>11</v>
      </c>
    </row>
    <row r="112" spans="1:8" x14ac:dyDescent="0.25">
      <c r="A112" s="4" t="s">
        <v>4535</v>
      </c>
      <c r="B112" s="4" t="s">
        <v>88</v>
      </c>
      <c r="F112" s="4" t="s">
        <v>9</v>
      </c>
      <c r="G112" s="4" t="s">
        <v>4536</v>
      </c>
      <c r="H112" s="6" t="s">
        <v>11</v>
      </c>
    </row>
    <row r="113" spans="1:8" x14ac:dyDescent="0.25">
      <c r="A113" s="4" t="s">
        <v>4537</v>
      </c>
      <c r="B113" s="4" t="s">
        <v>88</v>
      </c>
      <c r="F113" s="4" t="s">
        <v>9</v>
      </c>
      <c r="G113" s="4" t="s">
        <v>4538</v>
      </c>
      <c r="H113" s="6" t="s">
        <v>11</v>
      </c>
    </row>
    <row r="114" spans="1:8" x14ac:dyDescent="0.25">
      <c r="A114" s="4" t="s">
        <v>4539</v>
      </c>
      <c r="B114" s="4" t="s">
        <v>88</v>
      </c>
      <c r="D114" s="5">
        <v>8.9</v>
      </c>
      <c r="F114" s="4" t="s">
        <v>9</v>
      </c>
      <c r="G114" s="4" t="s">
        <v>4540</v>
      </c>
      <c r="H114" s="6" t="s">
        <v>11</v>
      </c>
    </row>
    <row r="115" spans="1:8" x14ac:dyDescent="0.25">
      <c r="A115" s="4" t="s">
        <v>4541</v>
      </c>
      <c r="B115" s="4" t="s">
        <v>88</v>
      </c>
      <c r="F115" s="4" t="s">
        <v>9</v>
      </c>
      <c r="G115" s="4" t="s">
        <v>4542</v>
      </c>
      <c r="H115" s="6" t="s">
        <v>11</v>
      </c>
    </row>
    <row r="116" spans="1:8" x14ac:dyDescent="0.25">
      <c r="A116" s="4" t="s">
        <v>4543</v>
      </c>
      <c r="B116" s="4" t="s">
        <v>88</v>
      </c>
      <c r="F116" s="4" t="s">
        <v>9</v>
      </c>
      <c r="G116" s="4" t="s">
        <v>4544</v>
      </c>
      <c r="H116" s="6" t="s">
        <v>11</v>
      </c>
    </row>
    <row r="117" spans="1:8" x14ac:dyDescent="0.25">
      <c r="A117" s="4" t="s">
        <v>4545</v>
      </c>
      <c r="B117" s="4" t="s">
        <v>88</v>
      </c>
      <c r="F117" s="4" t="s">
        <v>9</v>
      </c>
      <c r="G117" s="4" t="s">
        <v>4546</v>
      </c>
      <c r="H117" s="6" t="s">
        <v>11</v>
      </c>
    </row>
    <row r="118" spans="1:8" x14ac:dyDescent="0.25">
      <c r="A118" s="4" t="s">
        <v>4547</v>
      </c>
      <c r="B118" s="4" t="s">
        <v>88</v>
      </c>
      <c r="F118" s="4" t="s">
        <v>9</v>
      </c>
      <c r="G118" s="4" t="s">
        <v>4548</v>
      </c>
      <c r="H118" s="6" t="s">
        <v>11</v>
      </c>
    </row>
    <row r="119" spans="1:8" x14ac:dyDescent="0.25">
      <c r="A119" s="4" t="s">
        <v>4549</v>
      </c>
      <c r="B119" s="4" t="s">
        <v>88</v>
      </c>
      <c r="F119" s="4" t="s">
        <v>9</v>
      </c>
      <c r="G119" s="4" t="s">
        <v>4550</v>
      </c>
      <c r="H119" s="6" t="s">
        <v>11</v>
      </c>
    </row>
    <row r="120" spans="1:8" x14ac:dyDescent="0.25">
      <c r="A120" s="4" t="s">
        <v>4551</v>
      </c>
      <c r="B120" s="4" t="s">
        <v>88</v>
      </c>
      <c r="F120" s="4" t="s">
        <v>9</v>
      </c>
      <c r="G120" s="4" t="s">
        <v>4552</v>
      </c>
      <c r="H120" s="6" t="s">
        <v>11</v>
      </c>
    </row>
    <row r="121" spans="1:8" x14ac:dyDescent="0.25">
      <c r="A121" s="4" t="s">
        <v>4553</v>
      </c>
      <c r="B121" s="4" t="s">
        <v>88</v>
      </c>
      <c r="F121" s="4" t="s">
        <v>9</v>
      </c>
      <c r="G121" s="4" t="s">
        <v>4554</v>
      </c>
      <c r="H121" s="6" t="s">
        <v>11</v>
      </c>
    </row>
    <row r="122" spans="1:8" x14ac:dyDescent="0.25">
      <c r="A122" s="4" t="s">
        <v>4555</v>
      </c>
      <c r="B122" s="4" t="s">
        <v>88</v>
      </c>
      <c r="F122" s="4" t="s">
        <v>9</v>
      </c>
      <c r="G122" s="4" t="s">
        <v>4556</v>
      </c>
      <c r="H122" s="6" t="s">
        <v>11</v>
      </c>
    </row>
    <row r="123" spans="1:8" x14ac:dyDescent="0.25">
      <c r="A123" s="4" t="s">
        <v>4557</v>
      </c>
      <c r="B123" s="4" t="s">
        <v>88</v>
      </c>
      <c r="F123" s="4" t="s">
        <v>9</v>
      </c>
      <c r="G123" s="4" t="s">
        <v>4558</v>
      </c>
      <c r="H123" s="6" t="s">
        <v>11</v>
      </c>
    </row>
    <row r="124" spans="1:8" x14ac:dyDescent="0.25">
      <c r="A124" s="4" t="s">
        <v>4559</v>
      </c>
      <c r="B124" s="4" t="s">
        <v>88</v>
      </c>
      <c r="F124" s="4" t="s">
        <v>9</v>
      </c>
      <c r="G124" s="4" t="s">
        <v>4560</v>
      </c>
      <c r="H124" s="6" t="s">
        <v>11</v>
      </c>
    </row>
    <row r="125" spans="1:8" x14ac:dyDescent="0.25">
      <c r="A125" s="4" t="s">
        <v>4561</v>
      </c>
      <c r="B125" s="4" t="s">
        <v>88</v>
      </c>
      <c r="F125" s="4" t="s">
        <v>9</v>
      </c>
      <c r="G125" s="4" t="s">
        <v>4562</v>
      </c>
      <c r="H125" s="6" t="s">
        <v>11</v>
      </c>
    </row>
    <row r="126" spans="1:8" x14ac:dyDescent="0.25">
      <c r="A126" s="4" t="s">
        <v>4563</v>
      </c>
      <c r="B126" s="4" t="s">
        <v>88</v>
      </c>
      <c r="D126" s="5">
        <v>4.78</v>
      </c>
      <c r="F126" s="4" t="s">
        <v>9</v>
      </c>
      <c r="G126" s="4" t="s">
        <v>4564</v>
      </c>
      <c r="H126" s="6" t="s">
        <v>11</v>
      </c>
    </row>
    <row r="127" spans="1:8" x14ac:dyDescent="0.25">
      <c r="A127" s="4" t="s">
        <v>4571</v>
      </c>
      <c r="B127" s="4" t="s">
        <v>88</v>
      </c>
      <c r="F127" s="4" t="s">
        <v>9</v>
      </c>
      <c r="G127" s="4" t="s">
        <v>4572</v>
      </c>
      <c r="H127" s="6" t="s">
        <v>11</v>
      </c>
    </row>
    <row r="128" spans="1:8" x14ac:dyDescent="0.25">
      <c r="A128" s="4" t="s">
        <v>4575</v>
      </c>
      <c r="B128" s="4" t="s">
        <v>88</v>
      </c>
      <c r="F128" s="4" t="s">
        <v>9</v>
      </c>
      <c r="G128" s="4" t="s">
        <v>4576</v>
      </c>
      <c r="H128" s="6" t="s">
        <v>11</v>
      </c>
    </row>
    <row r="129" spans="1:8" x14ac:dyDescent="0.25">
      <c r="A129" s="4" t="s">
        <v>4577</v>
      </c>
      <c r="B129" s="4" t="s">
        <v>88</v>
      </c>
      <c r="F129" s="4" t="s">
        <v>9</v>
      </c>
      <c r="G129" s="4" t="s">
        <v>4578</v>
      </c>
      <c r="H129" s="6" t="s">
        <v>11</v>
      </c>
    </row>
    <row r="130" spans="1:8" x14ac:dyDescent="0.25">
      <c r="A130" s="4" t="s">
        <v>4579</v>
      </c>
      <c r="B130" s="4" t="s">
        <v>88</v>
      </c>
      <c r="F130" s="4" t="s">
        <v>9</v>
      </c>
      <c r="G130" s="4" t="s">
        <v>4580</v>
      </c>
      <c r="H130" s="6" t="s">
        <v>11</v>
      </c>
    </row>
    <row r="131" spans="1:8" x14ac:dyDescent="0.25">
      <c r="A131" s="4" t="s">
        <v>4583</v>
      </c>
      <c r="B131" s="4" t="s">
        <v>88</v>
      </c>
      <c r="F131" s="4" t="s">
        <v>9</v>
      </c>
      <c r="G131" s="4" t="s">
        <v>4584</v>
      </c>
      <c r="H131" s="6" t="s">
        <v>11</v>
      </c>
    </row>
    <row r="132" spans="1:8" x14ac:dyDescent="0.25">
      <c r="A132" s="4" t="s">
        <v>4717</v>
      </c>
      <c r="B132" s="4" t="s">
        <v>88</v>
      </c>
      <c r="D132" s="5">
        <v>15.79</v>
      </c>
      <c r="F132" s="4" t="s">
        <v>9</v>
      </c>
      <c r="G132" s="4" t="s">
        <v>4718</v>
      </c>
      <c r="H132" s="6" t="s">
        <v>11</v>
      </c>
    </row>
    <row r="133" spans="1:8" x14ac:dyDescent="0.25">
      <c r="A133" s="4" t="s">
        <v>4855</v>
      </c>
      <c r="B133" s="4" t="s">
        <v>88</v>
      </c>
      <c r="F133" s="4" t="s">
        <v>9</v>
      </c>
      <c r="G133" s="4" t="s">
        <v>4856</v>
      </c>
      <c r="H133" s="6" t="s">
        <v>11</v>
      </c>
    </row>
    <row r="134" spans="1:8" x14ac:dyDescent="0.25">
      <c r="A134" s="4" t="s">
        <v>33</v>
      </c>
      <c r="B134" s="4" t="s">
        <v>34</v>
      </c>
      <c r="D134" s="5">
        <v>9.69</v>
      </c>
      <c r="F134" s="4" t="s">
        <v>35</v>
      </c>
      <c r="G134" s="4" t="s">
        <v>36</v>
      </c>
      <c r="H134" s="6" t="s">
        <v>11</v>
      </c>
    </row>
    <row r="135" spans="1:8" x14ac:dyDescent="0.25">
      <c r="A135" s="4" t="s">
        <v>45</v>
      </c>
      <c r="B135" s="4" t="s">
        <v>34</v>
      </c>
      <c r="D135" s="5">
        <v>0.24</v>
      </c>
      <c r="F135" s="4" t="s">
        <v>9</v>
      </c>
      <c r="G135" s="4" t="s">
        <v>46</v>
      </c>
      <c r="H135" s="6" t="s">
        <v>11</v>
      </c>
    </row>
    <row r="136" spans="1:8" x14ac:dyDescent="0.25">
      <c r="A136" s="4" t="s">
        <v>47</v>
      </c>
      <c r="B136" s="4" t="s">
        <v>34</v>
      </c>
      <c r="D136" s="5">
        <v>3.76</v>
      </c>
      <c r="E136" s="5">
        <v>2.5</v>
      </c>
      <c r="F136" s="4" t="s">
        <v>35</v>
      </c>
      <c r="G136" s="4" t="s">
        <v>48</v>
      </c>
      <c r="H136" s="6" t="s">
        <v>11</v>
      </c>
    </row>
    <row r="137" spans="1:8" x14ac:dyDescent="0.25">
      <c r="A137" s="4" t="s">
        <v>49</v>
      </c>
      <c r="B137" s="4" t="s">
        <v>34</v>
      </c>
      <c r="F137" s="4" t="s">
        <v>35</v>
      </c>
      <c r="G137" s="4" t="s">
        <v>50</v>
      </c>
      <c r="H137" s="6" t="s">
        <v>11</v>
      </c>
    </row>
    <row r="138" spans="1:8" x14ac:dyDescent="0.25">
      <c r="A138" s="4" t="s">
        <v>51</v>
      </c>
      <c r="B138" s="4" t="s">
        <v>34</v>
      </c>
      <c r="D138" s="5">
        <v>4.58</v>
      </c>
      <c r="E138" s="5">
        <v>1</v>
      </c>
      <c r="F138" s="4" t="s">
        <v>35</v>
      </c>
      <c r="G138" s="4" t="s">
        <v>52</v>
      </c>
      <c r="H138" s="6" t="s">
        <v>11</v>
      </c>
    </row>
    <row r="139" spans="1:8" x14ac:dyDescent="0.25">
      <c r="A139" s="4" t="s">
        <v>55</v>
      </c>
      <c r="B139" s="4" t="s">
        <v>34</v>
      </c>
      <c r="D139" s="5">
        <v>53.73</v>
      </c>
      <c r="F139" s="4" t="s">
        <v>35</v>
      </c>
      <c r="G139" s="4" t="s">
        <v>56</v>
      </c>
      <c r="H139" s="6" t="s">
        <v>11</v>
      </c>
    </row>
    <row r="140" spans="1:8" x14ac:dyDescent="0.25">
      <c r="A140" s="4" t="str">
        <f>"ACEM CUBOS - ESTOQUE TAP "</f>
        <v xml:space="preserve">ACEM CUBOS - ESTOQUE TAP </v>
      </c>
      <c r="B140" s="4" t="s">
        <v>34</v>
      </c>
      <c r="D140" s="5">
        <v>34.5</v>
      </c>
      <c r="F140" s="4" t="s">
        <v>35</v>
      </c>
      <c r="G140" s="4" t="s">
        <v>57</v>
      </c>
      <c r="H140" s="6" t="s">
        <v>11</v>
      </c>
    </row>
    <row r="141" spans="1:8" x14ac:dyDescent="0.25">
      <c r="A141" s="4" t="s">
        <v>58</v>
      </c>
      <c r="B141" s="4" t="s">
        <v>34</v>
      </c>
      <c r="D141" s="5">
        <v>32.159999999999997</v>
      </c>
      <c r="F141" s="4" t="s">
        <v>59</v>
      </c>
      <c r="G141" s="4" t="s">
        <v>60</v>
      </c>
      <c r="H141" s="6" t="s">
        <v>11</v>
      </c>
    </row>
    <row r="142" spans="1:8" x14ac:dyDescent="0.25">
      <c r="A142" s="4" t="s">
        <v>67</v>
      </c>
      <c r="B142" s="4" t="s">
        <v>34</v>
      </c>
      <c r="F142" s="4" t="s">
        <v>35</v>
      </c>
      <c r="G142" s="4" t="s">
        <v>68</v>
      </c>
      <c r="H142" s="6" t="s">
        <v>11</v>
      </c>
    </row>
    <row r="143" spans="1:8" x14ac:dyDescent="0.25">
      <c r="A143" s="4" t="s">
        <v>69</v>
      </c>
      <c r="B143" s="4" t="s">
        <v>34</v>
      </c>
      <c r="D143" s="5">
        <v>11.85</v>
      </c>
      <c r="F143" s="4" t="s">
        <v>35</v>
      </c>
      <c r="G143" s="4" t="s">
        <v>70</v>
      </c>
      <c r="H143" s="6" t="s">
        <v>11</v>
      </c>
    </row>
    <row r="144" spans="1:8" x14ac:dyDescent="0.25">
      <c r="A144" s="4" t="s">
        <v>71</v>
      </c>
      <c r="B144" s="4" t="s">
        <v>34</v>
      </c>
      <c r="D144" s="5">
        <v>8.89</v>
      </c>
      <c r="F144" s="4" t="s">
        <v>35</v>
      </c>
      <c r="G144" s="4" t="s">
        <v>72</v>
      </c>
      <c r="H144" s="6" t="s">
        <v>11</v>
      </c>
    </row>
    <row r="145" spans="1:8" x14ac:dyDescent="0.25">
      <c r="A145" s="4" t="s">
        <v>73</v>
      </c>
      <c r="B145" s="4" t="s">
        <v>34</v>
      </c>
      <c r="D145" s="5">
        <v>4.08</v>
      </c>
      <c r="E145" s="5">
        <v>10</v>
      </c>
      <c r="F145" s="4" t="s">
        <v>35</v>
      </c>
      <c r="G145" s="4" t="s">
        <v>74</v>
      </c>
      <c r="H145" s="6" t="s">
        <v>11</v>
      </c>
    </row>
    <row r="146" spans="1:8" x14ac:dyDescent="0.25">
      <c r="A146" s="4" t="s">
        <v>77</v>
      </c>
      <c r="B146" s="4" t="s">
        <v>34</v>
      </c>
      <c r="D146" s="5">
        <v>6</v>
      </c>
      <c r="F146" s="4" t="s">
        <v>35</v>
      </c>
      <c r="G146" s="4" t="s">
        <v>78</v>
      </c>
      <c r="H146" s="6" t="s">
        <v>11</v>
      </c>
    </row>
    <row r="147" spans="1:8" x14ac:dyDescent="0.25">
      <c r="A147" s="4" t="s">
        <v>99</v>
      </c>
      <c r="B147" s="4" t="s">
        <v>34</v>
      </c>
      <c r="D147" s="5">
        <v>39.659999999999997</v>
      </c>
      <c r="F147" s="4" t="s">
        <v>35</v>
      </c>
      <c r="G147" s="4" t="s">
        <v>100</v>
      </c>
      <c r="H147" s="6" t="s">
        <v>11</v>
      </c>
    </row>
    <row r="148" spans="1:8" x14ac:dyDescent="0.25">
      <c r="A148" s="4" t="s">
        <v>101</v>
      </c>
      <c r="B148" s="4" t="s">
        <v>34</v>
      </c>
      <c r="D148" s="5">
        <v>54.98</v>
      </c>
      <c r="F148" s="4" t="s">
        <v>35</v>
      </c>
      <c r="G148" s="4" t="s">
        <v>102</v>
      </c>
      <c r="H148" s="6" t="s">
        <v>11</v>
      </c>
    </row>
    <row r="149" spans="1:8" x14ac:dyDescent="0.25">
      <c r="A149" s="4" t="s">
        <v>104</v>
      </c>
      <c r="B149" s="4" t="s">
        <v>34</v>
      </c>
      <c r="D149" s="5">
        <v>7.29</v>
      </c>
      <c r="F149" s="4" t="s">
        <v>35</v>
      </c>
      <c r="G149" s="4" t="s">
        <v>105</v>
      </c>
      <c r="H149" s="6" t="s">
        <v>11</v>
      </c>
    </row>
    <row r="150" spans="1:8" x14ac:dyDescent="0.25">
      <c r="A150" s="4" t="s">
        <v>108</v>
      </c>
      <c r="B150" s="4" t="s">
        <v>34</v>
      </c>
      <c r="D150" s="5">
        <v>13.33</v>
      </c>
      <c r="F150" s="4" t="s">
        <v>35</v>
      </c>
      <c r="G150" s="4" t="s">
        <v>109</v>
      </c>
      <c r="H150" s="6" t="s">
        <v>11</v>
      </c>
    </row>
    <row r="151" spans="1:8" x14ac:dyDescent="0.25">
      <c r="A151" s="4" t="s">
        <v>110</v>
      </c>
      <c r="B151" s="4" t="s">
        <v>34</v>
      </c>
      <c r="D151" s="5">
        <v>5</v>
      </c>
      <c r="F151" s="4" t="s">
        <v>35</v>
      </c>
      <c r="G151" s="4" t="s">
        <v>111</v>
      </c>
      <c r="H151" s="6" t="s">
        <v>11</v>
      </c>
    </row>
    <row r="152" spans="1:8" x14ac:dyDescent="0.25">
      <c r="A152" s="4" t="s">
        <v>112</v>
      </c>
      <c r="B152" s="4" t="s">
        <v>34</v>
      </c>
      <c r="D152" s="5">
        <v>3.44</v>
      </c>
      <c r="F152" s="4" t="s">
        <v>9</v>
      </c>
      <c r="G152" s="4" t="s">
        <v>113</v>
      </c>
      <c r="H152" s="6" t="s">
        <v>11</v>
      </c>
    </row>
    <row r="153" spans="1:8" x14ac:dyDescent="0.25">
      <c r="A153" s="4" t="s">
        <v>114</v>
      </c>
      <c r="B153" s="4" t="s">
        <v>34</v>
      </c>
      <c r="D153" s="5">
        <v>4.01</v>
      </c>
      <c r="E153" s="5">
        <v>5</v>
      </c>
      <c r="F153" s="4" t="s">
        <v>9</v>
      </c>
      <c r="G153" s="4" t="s">
        <v>115</v>
      </c>
      <c r="H153" s="6" t="s">
        <v>11</v>
      </c>
    </row>
    <row r="154" spans="1:8" x14ac:dyDescent="0.25">
      <c r="A154" s="4" t="s">
        <v>116</v>
      </c>
      <c r="B154" s="4" t="s">
        <v>34</v>
      </c>
      <c r="D154" s="5">
        <v>4.3099999999999996</v>
      </c>
      <c r="F154" s="4" t="s">
        <v>35</v>
      </c>
      <c r="G154" s="4" t="s">
        <v>117</v>
      </c>
      <c r="H154" s="6" t="s">
        <v>11</v>
      </c>
    </row>
    <row r="155" spans="1:8" x14ac:dyDescent="0.25">
      <c r="A155" s="4" t="s">
        <v>118</v>
      </c>
      <c r="B155" s="4" t="s">
        <v>34</v>
      </c>
      <c r="D155" s="5">
        <v>45</v>
      </c>
      <c r="F155" s="4" t="s">
        <v>35</v>
      </c>
      <c r="G155" s="4" t="s">
        <v>119</v>
      </c>
      <c r="H155" s="6" t="s">
        <v>11</v>
      </c>
    </row>
    <row r="156" spans="1:8" x14ac:dyDescent="0.25">
      <c r="A156" s="4" t="s">
        <v>122</v>
      </c>
      <c r="B156" s="4" t="s">
        <v>34</v>
      </c>
      <c r="D156" s="5">
        <v>29.3</v>
      </c>
      <c r="F156" s="4" t="s">
        <v>35</v>
      </c>
      <c r="G156" s="4" t="s">
        <v>123</v>
      </c>
      <c r="H156" s="6" t="s">
        <v>11</v>
      </c>
    </row>
    <row r="157" spans="1:8" x14ac:dyDescent="0.25">
      <c r="A157" s="4" t="s">
        <v>124</v>
      </c>
      <c r="B157" s="4" t="s">
        <v>34</v>
      </c>
      <c r="F157" s="4" t="s">
        <v>35</v>
      </c>
      <c r="G157" s="4" t="s">
        <v>125</v>
      </c>
      <c r="H157" s="6" t="s">
        <v>11</v>
      </c>
    </row>
    <row r="158" spans="1:8" x14ac:dyDescent="0.25">
      <c r="A158" s="4" t="s">
        <v>126</v>
      </c>
      <c r="B158" s="4" t="s">
        <v>34</v>
      </c>
      <c r="D158" s="5">
        <v>29.9</v>
      </c>
      <c r="F158" s="4" t="s">
        <v>35</v>
      </c>
      <c r="G158" s="4" t="s">
        <v>127</v>
      </c>
      <c r="H158" s="6" t="s">
        <v>11</v>
      </c>
    </row>
    <row r="159" spans="1:8" x14ac:dyDescent="0.25">
      <c r="A159" s="4" t="s">
        <v>128</v>
      </c>
      <c r="B159" s="4" t="s">
        <v>34</v>
      </c>
      <c r="D159" s="5">
        <v>33.01</v>
      </c>
      <c r="F159" s="4" t="s">
        <v>35</v>
      </c>
      <c r="G159" s="4" t="s">
        <v>129</v>
      </c>
      <c r="H159" s="6" t="s">
        <v>11</v>
      </c>
    </row>
    <row r="160" spans="1:8" x14ac:dyDescent="0.25">
      <c r="A160" s="4" t="s">
        <v>130</v>
      </c>
      <c r="B160" s="4" t="s">
        <v>34</v>
      </c>
      <c r="D160" s="5">
        <v>38.42</v>
      </c>
      <c r="F160" s="4" t="s">
        <v>35</v>
      </c>
      <c r="G160" s="4" t="s">
        <v>131</v>
      </c>
      <c r="H160" s="6" t="s">
        <v>11</v>
      </c>
    </row>
    <row r="161" spans="1:8" x14ac:dyDescent="0.25">
      <c r="A161" s="4" t="s">
        <v>132</v>
      </c>
      <c r="B161" s="4" t="s">
        <v>34</v>
      </c>
      <c r="D161" s="5">
        <v>19.899999999999999</v>
      </c>
      <c r="F161" s="4" t="s">
        <v>35</v>
      </c>
      <c r="G161" s="4" t="s">
        <v>133</v>
      </c>
      <c r="H161" s="6" t="s">
        <v>11</v>
      </c>
    </row>
    <row r="162" spans="1:8" x14ac:dyDescent="0.25">
      <c r="A162" s="4" t="s">
        <v>136</v>
      </c>
      <c r="B162" s="4" t="s">
        <v>34</v>
      </c>
      <c r="D162" s="5">
        <v>90</v>
      </c>
      <c r="F162" s="4" t="s">
        <v>35</v>
      </c>
      <c r="G162" s="4" t="s">
        <v>137</v>
      </c>
      <c r="H162" s="6" t="s">
        <v>11</v>
      </c>
    </row>
    <row r="163" spans="1:8" x14ac:dyDescent="0.25">
      <c r="A163" s="4" t="s">
        <v>174</v>
      </c>
      <c r="B163" s="4" t="s">
        <v>34</v>
      </c>
      <c r="D163" s="5">
        <v>13.8</v>
      </c>
      <c r="F163" s="4" t="s">
        <v>35</v>
      </c>
      <c r="G163" s="4" t="s">
        <v>175</v>
      </c>
      <c r="H163" s="6" t="s">
        <v>11</v>
      </c>
    </row>
    <row r="164" spans="1:8" x14ac:dyDescent="0.25">
      <c r="A164" s="4" t="s">
        <v>176</v>
      </c>
      <c r="B164" s="4" t="s">
        <v>34</v>
      </c>
      <c r="D164" s="5">
        <v>23.95</v>
      </c>
      <c r="F164" s="4" t="s">
        <v>35</v>
      </c>
      <c r="G164" s="4" t="s">
        <v>177</v>
      </c>
      <c r="H164" s="6" t="s">
        <v>11</v>
      </c>
    </row>
    <row r="165" spans="1:8" x14ac:dyDescent="0.25">
      <c r="A165" s="4" t="s">
        <v>178</v>
      </c>
      <c r="B165" s="4" t="s">
        <v>34</v>
      </c>
      <c r="D165" s="5">
        <v>21.64</v>
      </c>
      <c r="F165" s="4" t="s">
        <v>35</v>
      </c>
      <c r="G165" s="4" t="s">
        <v>179</v>
      </c>
      <c r="H165" s="6" t="s">
        <v>11</v>
      </c>
    </row>
    <row r="166" spans="1:8" x14ac:dyDescent="0.25">
      <c r="A166" s="4" t="str">
        <f>"ARROZ BRANCO - ESTOQUE TAP "</f>
        <v xml:space="preserve">ARROZ BRANCO - ESTOQUE TAP </v>
      </c>
      <c r="B166" s="4" t="s">
        <v>34</v>
      </c>
      <c r="D166" s="5">
        <v>5.88</v>
      </c>
      <c r="F166" s="4" t="s">
        <v>35</v>
      </c>
      <c r="G166" s="4" t="s">
        <v>184</v>
      </c>
      <c r="H166" s="6" t="s">
        <v>11</v>
      </c>
    </row>
    <row r="167" spans="1:8" x14ac:dyDescent="0.25">
      <c r="A167" s="4" t="s">
        <v>187</v>
      </c>
      <c r="B167" s="4" t="s">
        <v>34</v>
      </c>
      <c r="D167" s="5">
        <v>6.22</v>
      </c>
      <c r="E167" s="5">
        <v>25</v>
      </c>
      <c r="F167" s="4" t="s">
        <v>35</v>
      </c>
      <c r="G167" s="4" t="s">
        <v>188</v>
      </c>
      <c r="H167" s="6" t="s">
        <v>11</v>
      </c>
    </row>
    <row r="168" spans="1:8" x14ac:dyDescent="0.25">
      <c r="A168" s="4" t="s">
        <v>193</v>
      </c>
      <c r="B168" s="4" t="s">
        <v>34</v>
      </c>
      <c r="F168" s="4" t="s">
        <v>35</v>
      </c>
      <c r="G168" s="4" t="s">
        <v>194</v>
      </c>
      <c r="H168" s="6" t="s">
        <v>11</v>
      </c>
    </row>
    <row r="169" spans="1:8" x14ac:dyDescent="0.25">
      <c r="A169" s="4" t="s">
        <v>195</v>
      </c>
      <c r="B169" s="4" t="s">
        <v>34</v>
      </c>
      <c r="D169" s="5">
        <v>37.020000000000003</v>
      </c>
      <c r="F169" s="4" t="s">
        <v>59</v>
      </c>
      <c r="G169" s="4" t="s">
        <v>196</v>
      </c>
      <c r="H169" s="6" t="s">
        <v>11</v>
      </c>
    </row>
    <row r="170" spans="1:8" x14ac:dyDescent="0.25">
      <c r="A170" s="4" t="s">
        <v>197</v>
      </c>
      <c r="B170" s="4" t="s">
        <v>34</v>
      </c>
      <c r="D170" s="5">
        <v>73.81</v>
      </c>
      <c r="F170" s="4" t="s">
        <v>59</v>
      </c>
      <c r="G170" s="4" t="s">
        <v>198</v>
      </c>
      <c r="H170" s="6" t="s">
        <v>11</v>
      </c>
    </row>
    <row r="171" spans="1:8" x14ac:dyDescent="0.25">
      <c r="A171" s="4" t="str">
        <f>"AZEITE TRUFADO -  TAP "</f>
        <v xml:space="preserve">AZEITE TRUFADO -  TAP </v>
      </c>
      <c r="B171" s="4" t="s">
        <v>34</v>
      </c>
      <c r="C171" s="5">
        <v>75.8</v>
      </c>
      <c r="D171" s="5">
        <v>37.9</v>
      </c>
      <c r="F171" s="4" t="s">
        <v>59</v>
      </c>
      <c r="G171" s="4" t="s">
        <v>199</v>
      </c>
      <c r="H171" s="6" t="s">
        <v>11</v>
      </c>
    </row>
    <row r="172" spans="1:8" x14ac:dyDescent="0.25">
      <c r="A172" s="4" t="s">
        <v>200</v>
      </c>
      <c r="B172" s="4" t="s">
        <v>34</v>
      </c>
      <c r="D172" s="5">
        <v>41.97</v>
      </c>
      <c r="F172" s="4" t="s">
        <v>35</v>
      </c>
      <c r="G172" s="4" t="s">
        <v>201</v>
      </c>
      <c r="H172" s="6" t="s">
        <v>11</v>
      </c>
    </row>
    <row r="173" spans="1:8" x14ac:dyDescent="0.25">
      <c r="A173" s="4" t="s">
        <v>202</v>
      </c>
      <c r="B173" s="4" t="s">
        <v>34</v>
      </c>
      <c r="D173" s="5">
        <v>5.73</v>
      </c>
      <c r="E173" s="5">
        <v>-6.9000000000000006E-2</v>
      </c>
      <c r="F173" s="4" t="s">
        <v>35</v>
      </c>
      <c r="G173" s="4" t="s">
        <v>203</v>
      </c>
      <c r="H173" s="6" t="s">
        <v>11</v>
      </c>
    </row>
    <row r="174" spans="1:8" x14ac:dyDescent="0.25">
      <c r="A174" s="4" t="s">
        <v>211</v>
      </c>
      <c r="B174" s="4" t="s">
        <v>34</v>
      </c>
      <c r="F174" s="4" t="s">
        <v>35</v>
      </c>
      <c r="G174" s="4" t="s">
        <v>212</v>
      </c>
      <c r="H174" s="6" t="s">
        <v>11</v>
      </c>
    </row>
    <row r="175" spans="1:8" x14ac:dyDescent="0.25">
      <c r="A175" s="4" t="s">
        <v>213</v>
      </c>
      <c r="B175" s="4" t="s">
        <v>34</v>
      </c>
      <c r="D175" s="5">
        <v>10.83</v>
      </c>
      <c r="F175" s="4" t="s">
        <v>35</v>
      </c>
      <c r="G175" s="4" t="s">
        <v>214</v>
      </c>
      <c r="H175" s="6" t="s">
        <v>11</v>
      </c>
    </row>
    <row r="176" spans="1:8" x14ac:dyDescent="0.25">
      <c r="A176" s="4" t="s">
        <v>219</v>
      </c>
      <c r="B176" s="4" t="s">
        <v>34</v>
      </c>
      <c r="D176" s="5">
        <v>30</v>
      </c>
      <c r="F176" s="4" t="s">
        <v>9</v>
      </c>
      <c r="G176" s="4" t="s">
        <v>220</v>
      </c>
      <c r="H176" s="6" t="s">
        <v>11</v>
      </c>
    </row>
    <row r="177" spans="1:8" x14ac:dyDescent="0.25">
      <c r="A177" s="4" t="str">
        <f>"BACON EM CUBOS - ESTOQUE TAP "</f>
        <v xml:space="preserve">BACON EM CUBOS - ESTOQUE TAP </v>
      </c>
      <c r="B177" s="4" t="s">
        <v>34</v>
      </c>
      <c r="D177" s="5">
        <v>38.07</v>
      </c>
      <c r="F177" s="4" t="s">
        <v>35</v>
      </c>
      <c r="G177" s="4" t="s">
        <v>226</v>
      </c>
      <c r="H177" s="6" t="s">
        <v>11</v>
      </c>
    </row>
    <row r="178" spans="1:8" x14ac:dyDescent="0.25">
      <c r="A178" s="4" t="s">
        <v>227</v>
      </c>
      <c r="B178" s="4" t="s">
        <v>34</v>
      </c>
      <c r="D178" s="5">
        <v>34.270000000000003</v>
      </c>
      <c r="E178" s="5">
        <v>33</v>
      </c>
      <c r="F178" s="4" t="s">
        <v>35</v>
      </c>
      <c r="G178" s="4" t="s">
        <v>228</v>
      </c>
      <c r="H178" s="6" t="s">
        <v>11</v>
      </c>
    </row>
    <row r="179" spans="1:8" x14ac:dyDescent="0.25">
      <c r="A179" s="4" t="s">
        <v>229</v>
      </c>
      <c r="B179" s="4" t="s">
        <v>34</v>
      </c>
      <c r="D179" s="5">
        <v>26.27</v>
      </c>
      <c r="E179" s="5">
        <v>30.446999999999999</v>
      </c>
      <c r="F179" s="4" t="s">
        <v>35</v>
      </c>
      <c r="G179" s="4" t="s">
        <v>230</v>
      </c>
      <c r="H179" s="6" t="s">
        <v>11</v>
      </c>
    </row>
    <row r="180" spans="1:8" x14ac:dyDescent="0.25">
      <c r="A180" s="4" t="s">
        <v>233</v>
      </c>
      <c r="B180" s="4" t="s">
        <v>34</v>
      </c>
      <c r="D180" s="5">
        <v>41.36</v>
      </c>
      <c r="F180" s="4" t="s">
        <v>9</v>
      </c>
      <c r="G180" s="4" t="s">
        <v>234</v>
      </c>
      <c r="H180" s="6" t="s">
        <v>11</v>
      </c>
    </row>
    <row r="181" spans="1:8" x14ac:dyDescent="0.25">
      <c r="A181" s="4" t="s">
        <v>237</v>
      </c>
      <c r="B181" s="4" t="s">
        <v>34</v>
      </c>
      <c r="D181" s="5">
        <v>2.75</v>
      </c>
      <c r="F181" s="4" t="s">
        <v>35</v>
      </c>
      <c r="G181" s="4" t="s">
        <v>238</v>
      </c>
      <c r="H181" s="6" t="s">
        <v>11</v>
      </c>
    </row>
    <row r="182" spans="1:8" x14ac:dyDescent="0.25">
      <c r="A182" s="4" t="s">
        <v>247</v>
      </c>
      <c r="B182" s="4" t="s">
        <v>34</v>
      </c>
      <c r="D182" s="5">
        <v>5</v>
      </c>
      <c r="F182" s="4" t="s">
        <v>35</v>
      </c>
      <c r="G182" s="4" t="s">
        <v>248</v>
      </c>
      <c r="H182" s="6" t="s">
        <v>11</v>
      </c>
    </row>
    <row r="183" spans="1:8" x14ac:dyDescent="0.25">
      <c r="A183" s="4" t="s">
        <v>249</v>
      </c>
      <c r="B183" s="4" t="s">
        <v>34</v>
      </c>
      <c r="D183" s="5">
        <v>7.15</v>
      </c>
      <c r="F183" s="4" t="s">
        <v>35</v>
      </c>
      <c r="G183" s="4" t="s">
        <v>250</v>
      </c>
      <c r="H183" s="6" t="s">
        <v>11</v>
      </c>
    </row>
    <row r="184" spans="1:8" x14ac:dyDescent="0.25">
      <c r="A184" s="4" t="s">
        <v>251</v>
      </c>
      <c r="B184" s="4" t="s">
        <v>34</v>
      </c>
      <c r="D184" s="5">
        <v>15.22</v>
      </c>
      <c r="F184" s="4" t="s">
        <v>35</v>
      </c>
      <c r="G184" s="4" t="s">
        <v>252</v>
      </c>
      <c r="H184" s="6" t="s">
        <v>11</v>
      </c>
    </row>
    <row r="185" spans="1:8" x14ac:dyDescent="0.25">
      <c r="A185" s="4" t="s">
        <v>253</v>
      </c>
      <c r="B185" s="4" t="s">
        <v>34</v>
      </c>
      <c r="D185" s="5">
        <v>8.69</v>
      </c>
      <c r="F185" s="4" t="s">
        <v>35</v>
      </c>
      <c r="G185" s="4" t="s">
        <v>254</v>
      </c>
      <c r="H185" s="6" t="s">
        <v>11</v>
      </c>
    </row>
    <row r="186" spans="1:8" x14ac:dyDescent="0.25">
      <c r="A186" s="4" t="s">
        <v>255</v>
      </c>
      <c r="B186" s="4" t="s">
        <v>34</v>
      </c>
      <c r="D186" s="5">
        <v>15.29</v>
      </c>
      <c r="E186" s="5">
        <v>284</v>
      </c>
      <c r="F186" s="4" t="s">
        <v>35</v>
      </c>
      <c r="G186" s="4" t="s">
        <v>256</v>
      </c>
      <c r="H186" s="6" t="s">
        <v>11</v>
      </c>
    </row>
    <row r="187" spans="1:8" x14ac:dyDescent="0.25">
      <c r="A187" s="4" t="s">
        <v>257</v>
      </c>
      <c r="B187" s="4" t="s">
        <v>34</v>
      </c>
      <c r="D187" s="5">
        <v>3</v>
      </c>
      <c r="F187" s="4" t="s">
        <v>35</v>
      </c>
      <c r="G187" s="4" t="s">
        <v>258</v>
      </c>
      <c r="H187" s="6" t="s">
        <v>11</v>
      </c>
    </row>
    <row r="188" spans="1:8" x14ac:dyDescent="0.25">
      <c r="A188" s="4" t="s">
        <v>261</v>
      </c>
      <c r="B188" s="4" t="s">
        <v>34</v>
      </c>
      <c r="D188" s="5">
        <v>6.6</v>
      </c>
      <c r="F188" s="4" t="s">
        <v>35</v>
      </c>
      <c r="G188" s="4" t="s">
        <v>262</v>
      </c>
      <c r="H188" s="6" t="s">
        <v>11</v>
      </c>
    </row>
    <row r="189" spans="1:8" x14ac:dyDescent="0.25">
      <c r="A189" s="4" t="s">
        <v>265</v>
      </c>
      <c r="B189" s="4" t="s">
        <v>34</v>
      </c>
      <c r="D189" s="5">
        <v>11.83</v>
      </c>
      <c r="F189" s="4" t="s">
        <v>35</v>
      </c>
      <c r="G189" s="4" t="s">
        <v>266</v>
      </c>
      <c r="H189" s="6" t="s">
        <v>11</v>
      </c>
    </row>
    <row r="190" spans="1:8" x14ac:dyDescent="0.25">
      <c r="A190" s="4" t="s">
        <v>267</v>
      </c>
      <c r="B190" s="4" t="s">
        <v>34</v>
      </c>
      <c r="D190" s="5">
        <v>4.8600000000000003</v>
      </c>
      <c r="F190" s="4" t="s">
        <v>35</v>
      </c>
      <c r="G190" s="4" t="s">
        <v>268</v>
      </c>
      <c r="H190" s="6" t="s">
        <v>11</v>
      </c>
    </row>
    <row r="191" spans="1:8" x14ac:dyDescent="0.25">
      <c r="A191" s="4" t="s">
        <v>269</v>
      </c>
      <c r="B191" s="4" t="s">
        <v>34</v>
      </c>
      <c r="D191" s="5">
        <v>18.63</v>
      </c>
      <c r="F191" s="4" t="s">
        <v>35</v>
      </c>
      <c r="G191" s="4" t="s">
        <v>270</v>
      </c>
      <c r="H191" s="6" t="s">
        <v>11</v>
      </c>
    </row>
    <row r="192" spans="1:8" x14ac:dyDescent="0.25">
      <c r="A192" s="4" t="s">
        <v>279</v>
      </c>
      <c r="B192" s="4" t="s">
        <v>34</v>
      </c>
      <c r="D192" s="5">
        <v>5.77</v>
      </c>
      <c r="F192" s="4" t="s">
        <v>35</v>
      </c>
      <c r="G192" s="4" t="s">
        <v>280</v>
      </c>
      <c r="H192" s="6" t="s">
        <v>11</v>
      </c>
    </row>
    <row r="193" spans="1:8" x14ac:dyDescent="0.25">
      <c r="A193" s="4" t="s">
        <v>289</v>
      </c>
      <c r="B193" s="4" t="s">
        <v>34</v>
      </c>
      <c r="D193" s="5">
        <v>3.6</v>
      </c>
      <c r="F193" s="4" t="s">
        <v>35</v>
      </c>
      <c r="G193" s="4" t="s">
        <v>290</v>
      </c>
      <c r="H193" s="6" t="s">
        <v>11</v>
      </c>
    </row>
    <row r="194" spans="1:8" x14ac:dyDescent="0.25">
      <c r="A194" s="4" t="str">
        <f>"BIFE DE PATINHO - ESTOQUE TAP "</f>
        <v xml:space="preserve">BIFE DE PATINHO - ESTOQUE TAP </v>
      </c>
      <c r="B194" s="4" t="s">
        <v>34</v>
      </c>
      <c r="D194" s="5">
        <v>44.87</v>
      </c>
      <c r="F194" s="4" t="s">
        <v>35</v>
      </c>
      <c r="G194" s="4" t="s">
        <v>313</v>
      </c>
      <c r="H194" s="6" t="s">
        <v>11</v>
      </c>
    </row>
    <row r="195" spans="1:8" x14ac:dyDescent="0.25">
      <c r="A195" s="4" t="s">
        <v>331</v>
      </c>
      <c r="B195" s="4" t="s">
        <v>34</v>
      </c>
      <c r="D195" s="5">
        <v>34.9</v>
      </c>
      <c r="F195" s="4" t="s">
        <v>35</v>
      </c>
      <c r="G195" s="4" t="s">
        <v>332</v>
      </c>
      <c r="H195" s="6" t="s">
        <v>11</v>
      </c>
    </row>
    <row r="196" spans="1:8" x14ac:dyDescent="0.25">
      <c r="A196" s="4" t="s">
        <v>340</v>
      </c>
      <c r="B196" s="4" t="s">
        <v>34</v>
      </c>
      <c r="D196" s="5">
        <v>1</v>
      </c>
      <c r="F196" s="4" t="s">
        <v>9</v>
      </c>
      <c r="G196" s="4" t="s">
        <v>341</v>
      </c>
      <c r="H196" s="6" t="s">
        <v>11</v>
      </c>
    </row>
    <row r="197" spans="1:8" x14ac:dyDescent="0.25">
      <c r="A197" s="4" t="s">
        <v>391</v>
      </c>
      <c r="B197" s="4" t="s">
        <v>34</v>
      </c>
      <c r="D197" s="5">
        <v>21</v>
      </c>
      <c r="F197" s="4" t="s">
        <v>9</v>
      </c>
      <c r="G197" s="4" t="s">
        <v>392</v>
      </c>
      <c r="H197" s="6" t="s">
        <v>11</v>
      </c>
    </row>
    <row r="198" spans="1:8" x14ac:dyDescent="0.25">
      <c r="A198" s="4" t="s">
        <v>393</v>
      </c>
      <c r="B198" s="4" t="s">
        <v>34</v>
      </c>
      <c r="D198" s="5">
        <v>6.76</v>
      </c>
      <c r="E198" s="5">
        <v>-3</v>
      </c>
      <c r="F198" s="4" t="s">
        <v>35</v>
      </c>
      <c r="G198" s="4" t="s">
        <v>394</v>
      </c>
      <c r="H198" s="6" t="s">
        <v>11</v>
      </c>
    </row>
    <row r="199" spans="1:8" x14ac:dyDescent="0.25">
      <c r="A199" s="4" t="s">
        <v>397</v>
      </c>
      <c r="B199" s="4" t="s">
        <v>34</v>
      </c>
      <c r="F199" s="4" t="s">
        <v>9</v>
      </c>
      <c r="G199" s="4" t="s">
        <v>398</v>
      </c>
      <c r="H199" s="6" t="s">
        <v>11</v>
      </c>
    </row>
    <row r="200" spans="1:8" x14ac:dyDescent="0.25">
      <c r="A200" s="4" t="s">
        <v>403</v>
      </c>
      <c r="B200" s="4" t="s">
        <v>34</v>
      </c>
      <c r="F200" s="4" t="s">
        <v>35</v>
      </c>
      <c r="G200" s="4" t="s">
        <v>404</v>
      </c>
      <c r="H200" s="6" t="s">
        <v>11</v>
      </c>
    </row>
    <row r="201" spans="1:8" x14ac:dyDescent="0.25">
      <c r="A201" s="4" t="s">
        <v>409</v>
      </c>
      <c r="B201" s="4" t="s">
        <v>34</v>
      </c>
      <c r="F201" s="4" t="s">
        <v>9</v>
      </c>
      <c r="G201" s="4" t="s">
        <v>410</v>
      </c>
      <c r="H201" s="6" t="s">
        <v>11</v>
      </c>
    </row>
    <row r="202" spans="1:8" x14ac:dyDescent="0.25">
      <c r="A202" s="4" t="s">
        <v>411</v>
      </c>
      <c r="B202" s="4" t="s">
        <v>34</v>
      </c>
      <c r="D202" s="5">
        <v>12.75</v>
      </c>
      <c r="F202" s="4" t="s">
        <v>35</v>
      </c>
      <c r="G202" s="4" t="s">
        <v>412</v>
      </c>
      <c r="H202" s="6" t="s">
        <v>11</v>
      </c>
    </row>
    <row r="203" spans="1:8" x14ac:dyDescent="0.25">
      <c r="A203" s="4" t="s">
        <v>415</v>
      </c>
      <c r="B203" s="4" t="s">
        <v>34</v>
      </c>
      <c r="F203" s="4" t="s">
        <v>9</v>
      </c>
      <c r="G203" s="4" t="s">
        <v>416</v>
      </c>
      <c r="H203" s="6" t="s">
        <v>11</v>
      </c>
    </row>
    <row r="204" spans="1:8" x14ac:dyDescent="0.25">
      <c r="A204" s="4" t="s">
        <v>417</v>
      </c>
      <c r="B204" s="4" t="s">
        <v>34</v>
      </c>
      <c r="F204" s="4" t="s">
        <v>9</v>
      </c>
      <c r="G204" s="4" t="s">
        <v>418</v>
      </c>
      <c r="H204" s="6" t="s">
        <v>11</v>
      </c>
    </row>
    <row r="205" spans="1:8" x14ac:dyDescent="0.25">
      <c r="A205" s="4" t="s">
        <v>419</v>
      </c>
      <c r="B205" s="4" t="s">
        <v>34</v>
      </c>
      <c r="F205" s="4" t="s">
        <v>35</v>
      </c>
      <c r="G205" s="4" t="s">
        <v>420</v>
      </c>
      <c r="H205" s="6" t="s">
        <v>11</v>
      </c>
    </row>
    <row r="206" spans="1:8" x14ac:dyDescent="0.25">
      <c r="A206" s="4" t="s">
        <v>421</v>
      </c>
      <c r="B206" s="4" t="s">
        <v>34</v>
      </c>
      <c r="D206" s="5">
        <v>78.989999999999995</v>
      </c>
      <c r="F206" s="4" t="s">
        <v>9</v>
      </c>
      <c r="G206" s="4" t="s">
        <v>422</v>
      </c>
      <c r="H206" s="6" t="s">
        <v>11</v>
      </c>
    </row>
    <row r="207" spans="1:8" x14ac:dyDescent="0.25">
      <c r="A207" s="4" t="s">
        <v>485</v>
      </c>
      <c r="B207" s="4" t="s">
        <v>34</v>
      </c>
      <c r="D207" s="5">
        <v>33.270000000000003</v>
      </c>
      <c r="F207" s="4" t="s">
        <v>35</v>
      </c>
      <c r="G207" s="4" t="s">
        <v>486</v>
      </c>
      <c r="H207" s="6" t="s">
        <v>11</v>
      </c>
    </row>
    <row r="208" spans="1:8" x14ac:dyDescent="0.25">
      <c r="A208" s="4" t="str">
        <f>"CALDO DE GALINHA - ESTOQUE TAP "</f>
        <v xml:space="preserve">CALDO DE GALINHA - ESTOQUE TAP </v>
      </c>
      <c r="B208" s="4" t="s">
        <v>34</v>
      </c>
      <c r="F208" s="4" t="s">
        <v>9</v>
      </c>
      <c r="G208" s="4" t="s">
        <v>487</v>
      </c>
      <c r="H208" s="6" t="s">
        <v>11</v>
      </c>
    </row>
    <row r="209" spans="1:8" x14ac:dyDescent="0.25">
      <c r="A209" s="4" t="str">
        <f>"CALDO DE LEGUMES E VERDURAS - ESTOQUE TAP "</f>
        <v xml:space="preserve">CALDO DE LEGUMES E VERDURAS - ESTOQUE TAP </v>
      </c>
      <c r="B209" s="4" t="s">
        <v>34</v>
      </c>
      <c r="F209" s="4" t="s">
        <v>9</v>
      </c>
      <c r="G209" s="4" t="s">
        <v>488</v>
      </c>
      <c r="H209" s="6" t="s">
        <v>11</v>
      </c>
    </row>
    <row r="210" spans="1:8" x14ac:dyDescent="0.25">
      <c r="A210" s="4" t="s">
        <v>489</v>
      </c>
      <c r="B210" s="4" t="s">
        <v>34</v>
      </c>
      <c r="D210" s="5">
        <v>2.39</v>
      </c>
      <c r="F210" s="4" t="s">
        <v>59</v>
      </c>
      <c r="G210" s="4" t="s">
        <v>490</v>
      </c>
      <c r="H210" s="6" t="s">
        <v>11</v>
      </c>
    </row>
    <row r="211" spans="1:8" x14ac:dyDescent="0.25">
      <c r="A211" s="4" t="s">
        <v>491</v>
      </c>
      <c r="B211" s="4" t="s">
        <v>34</v>
      </c>
      <c r="D211" s="5">
        <v>90.45</v>
      </c>
      <c r="F211" s="4" t="s">
        <v>35</v>
      </c>
      <c r="G211" s="4" t="s">
        <v>492</v>
      </c>
      <c r="H211" s="6" t="s">
        <v>11</v>
      </c>
    </row>
    <row r="212" spans="1:8" x14ac:dyDescent="0.25">
      <c r="A212" s="4" t="s">
        <v>493</v>
      </c>
      <c r="B212" s="4" t="s">
        <v>34</v>
      </c>
      <c r="D212" s="5">
        <v>71.73</v>
      </c>
      <c r="F212" s="4" t="s">
        <v>35</v>
      </c>
      <c r="G212" s="4" t="s">
        <v>494</v>
      </c>
      <c r="H212" s="6" t="s">
        <v>11</v>
      </c>
    </row>
    <row r="213" spans="1:8" x14ac:dyDescent="0.25">
      <c r="A213" s="4" t="s">
        <v>495</v>
      </c>
      <c r="B213" s="4" t="s">
        <v>34</v>
      </c>
      <c r="D213" s="5">
        <v>38.28</v>
      </c>
      <c r="F213" s="4" t="s">
        <v>35</v>
      </c>
      <c r="G213" s="4" t="s">
        <v>496</v>
      </c>
      <c r="H213" s="6" t="s">
        <v>11</v>
      </c>
    </row>
    <row r="214" spans="1:8" x14ac:dyDescent="0.25">
      <c r="A214" s="4" t="s">
        <v>497</v>
      </c>
      <c r="B214" s="4" t="s">
        <v>34</v>
      </c>
      <c r="D214" s="5">
        <v>88.99</v>
      </c>
      <c r="F214" s="4" t="s">
        <v>35</v>
      </c>
      <c r="G214" s="4" t="s">
        <v>498</v>
      </c>
      <c r="H214" s="6" t="s">
        <v>11</v>
      </c>
    </row>
    <row r="215" spans="1:8" x14ac:dyDescent="0.25">
      <c r="A215" s="4" t="s">
        <v>662</v>
      </c>
      <c r="B215" s="4" t="s">
        <v>34</v>
      </c>
      <c r="D215" s="5">
        <v>63.99</v>
      </c>
      <c r="F215" s="4" t="s">
        <v>35</v>
      </c>
      <c r="G215" s="4" t="s">
        <v>663</v>
      </c>
      <c r="H215" s="6" t="s">
        <v>11</v>
      </c>
    </row>
    <row r="216" spans="1:8" x14ac:dyDescent="0.25">
      <c r="A216" s="4" t="s">
        <v>678</v>
      </c>
      <c r="B216" s="4" t="s">
        <v>34</v>
      </c>
      <c r="D216" s="5">
        <v>57.15</v>
      </c>
      <c r="F216" s="4" t="s">
        <v>35</v>
      </c>
      <c r="G216" s="4" t="s">
        <v>679</v>
      </c>
      <c r="H216" s="6" t="s">
        <v>11</v>
      </c>
    </row>
    <row r="217" spans="1:8" x14ac:dyDescent="0.25">
      <c r="A217" s="4" t="s">
        <v>680</v>
      </c>
      <c r="B217" s="4" t="s">
        <v>34</v>
      </c>
      <c r="D217" s="5">
        <v>22.82</v>
      </c>
      <c r="F217" s="4" t="s">
        <v>35</v>
      </c>
      <c r="G217" s="4" t="s">
        <v>681</v>
      </c>
      <c r="H217" s="6" t="s">
        <v>11</v>
      </c>
    </row>
    <row r="218" spans="1:8" x14ac:dyDescent="0.25">
      <c r="A218" s="4" t="s">
        <v>682</v>
      </c>
      <c r="B218" s="4" t="s">
        <v>34</v>
      </c>
      <c r="D218" s="5">
        <v>54.1</v>
      </c>
      <c r="F218" s="4" t="s">
        <v>35</v>
      </c>
      <c r="G218" s="4" t="s">
        <v>683</v>
      </c>
      <c r="H218" s="6" t="s">
        <v>11</v>
      </c>
    </row>
    <row r="219" spans="1:8" x14ac:dyDescent="0.25">
      <c r="A219" s="4" t="s">
        <v>687</v>
      </c>
      <c r="B219" s="4" t="s">
        <v>34</v>
      </c>
      <c r="D219" s="5">
        <v>63.21</v>
      </c>
      <c r="F219" s="4" t="s">
        <v>35</v>
      </c>
      <c r="G219" s="4" t="s">
        <v>688</v>
      </c>
      <c r="H219" s="6" t="s">
        <v>11</v>
      </c>
    </row>
    <row r="220" spans="1:8" x14ac:dyDescent="0.25">
      <c r="A220" s="4" t="s">
        <v>689</v>
      </c>
      <c r="B220" s="4" t="s">
        <v>34</v>
      </c>
      <c r="D220" s="5">
        <v>23.63</v>
      </c>
      <c r="E220" s="5">
        <v>4.3239999999999998</v>
      </c>
      <c r="F220" s="4" t="s">
        <v>35</v>
      </c>
      <c r="G220" s="4" t="s">
        <v>690</v>
      </c>
      <c r="H220" s="6" t="s">
        <v>11</v>
      </c>
    </row>
    <row r="221" spans="1:8" x14ac:dyDescent="0.25">
      <c r="A221" s="4" t="str">
        <f>"CARNE MOIDA - ESTOQUE TAP "</f>
        <v xml:space="preserve">CARNE MOIDA - ESTOQUE TAP </v>
      </c>
      <c r="B221" s="4" t="s">
        <v>34</v>
      </c>
      <c r="D221" s="5">
        <v>33.25</v>
      </c>
      <c r="F221" s="4" t="s">
        <v>35</v>
      </c>
      <c r="G221" s="4" t="s">
        <v>691</v>
      </c>
      <c r="H221" s="6" t="s">
        <v>11</v>
      </c>
    </row>
    <row r="222" spans="1:8" x14ac:dyDescent="0.25">
      <c r="A222" s="4" t="s">
        <v>692</v>
      </c>
      <c r="B222" s="4" t="s">
        <v>34</v>
      </c>
      <c r="D222" s="5">
        <v>69.930000000000007</v>
      </c>
      <c r="F222" s="4" t="s">
        <v>35</v>
      </c>
      <c r="G222" s="4" t="s">
        <v>693</v>
      </c>
      <c r="H222" s="6" t="s">
        <v>11</v>
      </c>
    </row>
    <row r="223" spans="1:8" x14ac:dyDescent="0.25">
      <c r="A223" s="4" t="s">
        <v>694</v>
      </c>
      <c r="B223" s="4" t="s">
        <v>34</v>
      </c>
      <c r="D223" s="5">
        <v>32.9</v>
      </c>
      <c r="E223" s="5">
        <v>-17.82</v>
      </c>
      <c r="F223" s="4" t="s">
        <v>35</v>
      </c>
      <c r="G223" s="4" t="s">
        <v>695</v>
      </c>
      <c r="H223" s="6" t="s">
        <v>11</v>
      </c>
    </row>
    <row r="224" spans="1:8" x14ac:dyDescent="0.25">
      <c r="A224" s="4" t="str">
        <f>"CARNE T-BONE BOVINO - ESTOQUE TAP "</f>
        <v xml:space="preserve">CARNE T-BONE BOVINO - ESTOQUE TAP </v>
      </c>
      <c r="B224" s="4" t="s">
        <v>34</v>
      </c>
      <c r="D224" s="5">
        <v>55.9</v>
      </c>
      <c r="F224" s="4" t="s">
        <v>35</v>
      </c>
      <c r="G224" s="4" t="s">
        <v>696</v>
      </c>
      <c r="H224" s="6" t="s">
        <v>11</v>
      </c>
    </row>
    <row r="225" spans="1:8" x14ac:dyDescent="0.25">
      <c r="A225" s="4" t="s">
        <v>697</v>
      </c>
      <c r="B225" s="4" t="s">
        <v>34</v>
      </c>
      <c r="D225" s="5">
        <v>21.67</v>
      </c>
      <c r="F225" s="4" t="s">
        <v>35</v>
      </c>
      <c r="G225" s="4" t="s">
        <v>698</v>
      </c>
      <c r="H225" s="6" t="s">
        <v>11</v>
      </c>
    </row>
    <row r="226" spans="1:8" x14ac:dyDescent="0.25">
      <c r="A226" s="4" t="str">
        <f>"CASCAO DE SORVETE - ESTOQUE TAP "</f>
        <v xml:space="preserve">CASCAO DE SORVETE - ESTOQUE TAP </v>
      </c>
      <c r="B226" s="4" t="s">
        <v>34</v>
      </c>
      <c r="D226" s="5">
        <v>0.75</v>
      </c>
      <c r="F226" s="4" t="s">
        <v>9</v>
      </c>
      <c r="G226" s="4" t="s">
        <v>703</v>
      </c>
      <c r="H226" s="6" t="s">
        <v>11</v>
      </c>
    </row>
    <row r="227" spans="1:8" x14ac:dyDescent="0.25">
      <c r="A227" s="4" t="str">
        <f>"CASTANHA DE CAJU TORRADA SEM SAL - ESTOQUE TAP "</f>
        <v xml:space="preserve">CASTANHA DE CAJU TORRADA SEM SAL - ESTOQUE TAP </v>
      </c>
      <c r="B227" s="4" t="s">
        <v>34</v>
      </c>
      <c r="D227" s="5">
        <v>90</v>
      </c>
      <c r="F227" s="4" t="s">
        <v>35</v>
      </c>
      <c r="G227" s="4" t="s">
        <v>706</v>
      </c>
      <c r="H227" s="6" t="s">
        <v>11</v>
      </c>
    </row>
    <row r="228" spans="1:8" x14ac:dyDescent="0.25">
      <c r="A228" s="4" t="s">
        <v>712</v>
      </c>
      <c r="B228" s="4" t="s">
        <v>34</v>
      </c>
      <c r="D228" s="5">
        <v>5.84</v>
      </c>
      <c r="F228" s="4" t="s">
        <v>35</v>
      </c>
      <c r="G228" s="4" t="s">
        <v>713</v>
      </c>
      <c r="H228" s="6" t="s">
        <v>11</v>
      </c>
    </row>
    <row r="229" spans="1:8" x14ac:dyDescent="0.25">
      <c r="A229" s="4" t="s">
        <v>714</v>
      </c>
      <c r="B229" s="4" t="s">
        <v>34</v>
      </c>
      <c r="D229" s="5">
        <v>4.5</v>
      </c>
      <c r="E229" s="5">
        <v>-6.2E-2</v>
      </c>
      <c r="F229" s="4" t="s">
        <v>35</v>
      </c>
      <c r="G229" s="4" t="s">
        <v>715</v>
      </c>
      <c r="H229" s="6" t="s">
        <v>11</v>
      </c>
    </row>
    <row r="230" spans="1:8" x14ac:dyDescent="0.25">
      <c r="A230" s="4" t="str">
        <f>"CEBOLA CARAMELIZADA - TAP "</f>
        <v xml:space="preserve">CEBOLA CARAMELIZADA - TAP </v>
      </c>
      <c r="B230" s="4" t="s">
        <v>34</v>
      </c>
      <c r="F230" s="4" t="s">
        <v>35</v>
      </c>
      <c r="G230" s="4" t="s">
        <v>716</v>
      </c>
      <c r="H230" s="6" t="s">
        <v>11</v>
      </c>
    </row>
    <row r="231" spans="1:8" x14ac:dyDescent="0.25">
      <c r="A231" s="4" t="s">
        <v>717</v>
      </c>
      <c r="B231" s="4" t="s">
        <v>34</v>
      </c>
      <c r="D231" s="5">
        <v>60.6</v>
      </c>
      <c r="F231" s="4" t="s">
        <v>35</v>
      </c>
      <c r="G231" s="4" t="s">
        <v>718</v>
      </c>
      <c r="H231" s="6" t="s">
        <v>11</v>
      </c>
    </row>
    <row r="232" spans="1:8" x14ac:dyDescent="0.25">
      <c r="A232" s="4" t="s">
        <v>719</v>
      </c>
      <c r="B232" s="4" t="s">
        <v>34</v>
      </c>
      <c r="D232" s="5">
        <v>22.66</v>
      </c>
      <c r="F232" s="4" t="s">
        <v>35</v>
      </c>
      <c r="G232" s="4" t="s">
        <v>720</v>
      </c>
      <c r="H232" s="6" t="s">
        <v>11</v>
      </c>
    </row>
    <row r="233" spans="1:8" x14ac:dyDescent="0.25">
      <c r="A233" s="4" t="s">
        <v>721</v>
      </c>
      <c r="B233" s="4" t="s">
        <v>34</v>
      </c>
      <c r="D233" s="5">
        <v>85</v>
      </c>
      <c r="F233" s="4" t="s">
        <v>35</v>
      </c>
      <c r="G233" s="4" t="s">
        <v>722</v>
      </c>
      <c r="H233" s="6" t="s">
        <v>11</v>
      </c>
    </row>
    <row r="234" spans="1:8" x14ac:dyDescent="0.25">
      <c r="A234" s="4" t="s">
        <v>723</v>
      </c>
      <c r="B234" s="4" t="s">
        <v>34</v>
      </c>
      <c r="D234" s="5">
        <v>17</v>
      </c>
      <c r="F234" s="4" t="s">
        <v>35</v>
      </c>
      <c r="G234" s="4" t="s">
        <v>724</v>
      </c>
      <c r="H234" s="6" t="s">
        <v>11</v>
      </c>
    </row>
    <row r="235" spans="1:8" x14ac:dyDescent="0.25">
      <c r="A235" s="4" t="s">
        <v>725</v>
      </c>
      <c r="B235" s="4" t="s">
        <v>34</v>
      </c>
      <c r="D235" s="5">
        <v>5.6</v>
      </c>
      <c r="F235" s="4" t="s">
        <v>35</v>
      </c>
      <c r="G235" s="4" t="s">
        <v>726</v>
      </c>
      <c r="H235" s="6" t="s">
        <v>11</v>
      </c>
    </row>
    <row r="236" spans="1:8" x14ac:dyDescent="0.25">
      <c r="A236" s="4" t="s">
        <v>727</v>
      </c>
      <c r="B236" s="4" t="s">
        <v>34</v>
      </c>
      <c r="D236" s="5">
        <v>5</v>
      </c>
      <c r="F236" s="4" t="s">
        <v>35</v>
      </c>
      <c r="G236" s="4" t="s">
        <v>728</v>
      </c>
      <c r="H236" s="6" t="s">
        <v>11</v>
      </c>
    </row>
    <row r="237" spans="1:8" x14ac:dyDescent="0.25">
      <c r="A237" s="4" t="s">
        <v>729</v>
      </c>
      <c r="B237" s="4" t="s">
        <v>34</v>
      </c>
      <c r="D237" s="5">
        <v>3.37</v>
      </c>
      <c r="E237" s="5">
        <v>2</v>
      </c>
      <c r="F237" s="4" t="s">
        <v>35</v>
      </c>
      <c r="G237" s="4" t="s">
        <v>730</v>
      </c>
      <c r="H237" s="6" t="s">
        <v>11</v>
      </c>
    </row>
    <row r="238" spans="1:8" x14ac:dyDescent="0.25">
      <c r="A238" s="4" t="str">
        <f>"CEREAL NATURAL - ESTOQUE TAP "</f>
        <v xml:space="preserve">CEREAL NATURAL - ESTOQUE TAP </v>
      </c>
      <c r="B238" s="4" t="s">
        <v>34</v>
      </c>
      <c r="D238" s="5">
        <v>28.9</v>
      </c>
      <c r="F238" s="4" t="s">
        <v>35</v>
      </c>
      <c r="G238" s="4" t="s">
        <v>731</v>
      </c>
      <c r="H238" s="6" t="s">
        <v>11</v>
      </c>
    </row>
    <row r="239" spans="1:8" x14ac:dyDescent="0.25">
      <c r="A239" s="4" t="s">
        <v>809</v>
      </c>
      <c r="B239" s="4" t="s">
        <v>34</v>
      </c>
      <c r="D239" s="5">
        <v>19.2</v>
      </c>
      <c r="F239" s="4" t="s">
        <v>9</v>
      </c>
      <c r="G239" s="4" t="s">
        <v>810</v>
      </c>
      <c r="H239" s="6" t="s">
        <v>11</v>
      </c>
    </row>
    <row r="240" spans="1:8" x14ac:dyDescent="0.25">
      <c r="A240" s="4" t="s">
        <v>857</v>
      </c>
      <c r="B240" s="4" t="s">
        <v>34</v>
      </c>
      <c r="D240" s="5">
        <v>27.04</v>
      </c>
      <c r="F240" s="4" t="s">
        <v>35</v>
      </c>
      <c r="G240" s="4" t="s">
        <v>858</v>
      </c>
      <c r="H240" s="6" t="s">
        <v>11</v>
      </c>
    </row>
    <row r="241" spans="1:8" x14ac:dyDescent="0.25">
      <c r="A241" s="4" t="s">
        <v>859</v>
      </c>
      <c r="B241" s="4" t="s">
        <v>34</v>
      </c>
      <c r="D241" s="5">
        <v>10.7</v>
      </c>
      <c r="F241" s="4" t="s">
        <v>35</v>
      </c>
      <c r="G241" s="4" t="s">
        <v>860</v>
      </c>
      <c r="H241" s="6" t="s">
        <v>11</v>
      </c>
    </row>
    <row r="242" spans="1:8" x14ac:dyDescent="0.25">
      <c r="A242" s="4" t="s">
        <v>861</v>
      </c>
      <c r="B242" s="4" t="s">
        <v>34</v>
      </c>
      <c r="D242" s="5">
        <v>22.5</v>
      </c>
      <c r="F242" s="4" t="s">
        <v>35</v>
      </c>
      <c r="G242" s="4" t="s">
        <v>862</v>
      </c>
      <c r="H242" s="6" t="s">
        <v>11</v>
      </c>
    </row>
    <row r="243" spans="1:8" x14ac:dyDescent="0.25">
      <c r="A243" s="4" t="s">
        <v>863</v>
      </c>
      <c r="B243" s="4" t="s">
        <v>34</v>
      </c>
      <c r="D243" s="5">
        <v>15.53</v>
      </c>
      <c r="F243" s="4" t="s">
        <v>35</v>
      </c>
      <c r="G243" s="4" t="s">
        <v>864</v>
      </c>
      <c r="H243" s="6" t="s">
        <v>11</v>
      </c>
    </row>
    <row r="244" spans="1:8" x14ac:dyDescent="0.25">
      <c r="A244" s="4" t="s">
        <v>865</v>
      </c>
      <c r="B244" s="4" t="s">
        <v>34</v>
      </c>
      <c r="D244" s="5">
        <v>65.86</v>
      </c>
      <c r="F244" s="4" t="s">
        <v>35</v>
      </c>
      <c r="G244" s="4" t="s">
        <v>866</v>
      </c>
      <c r="H244" s="6" t="s">
        <v>11</v>
      </c>
    </row>
    <row r="245" spans="1:8" x14ac:dyDescent="0.25">
      <c r="A245" s="4" t="s">
        <v>2282</v>
      </c>
      <c r="B245" s="4" t="s">
        <v>34</v>
      </c>
      <c r="D245" s="5">
        <v>24.89</v>
      </c>
      <c r="F245" s="4" t="s">
        <v>35</v>
      </c>
      <c r="G245" s="4" t="s">
        <v>2283</v>
      </c>
      <c r="H245" s="6" t="s">
        <v>11</v>
      </c>
    </row>
    <row r="246" spans="1:8" x14ac:dyDescent="0.25">
      <c r="A246" s="4" t="s">
        <v>2284</v>
      </c>
      <c r="B246" s="4" t="s">
        <v>34</v>
      </c>
      <c r="D246" s="5">
        <v>23.64</v>
      </c>
      <c r="F246" s="4" t="s">
        <v>9</v>
      </c>
      <c r="G246" s="4" t="s">
        <v>2285</v>
      </c>
      <c r="H246" s="6" t="s">
        <v>11</v>
      </c>
    </row>
    <row r="247" spans="1:8" x14ac:dyDescent="0.25">
      <c r="A247" s="4" t="s">
        <v>2288</v>
      </c>
      <c r="B247" s="4" t="s">
        <v>34</v>
      </c>
      <c r="D247" s="5">
        <v>6.84</v>
      </c>
      <c r="F247" s="4" t="s">
        <v>35</v>
      </c>
      <c r="G247" s="4" t="s">
        <v>2289</v>
      </c>
      <c r="H247" s="6" t="s">
        <v>11</v>
      </c>
    </row>
    <row r="248" spans="1:8" x14ac:dyDescent="0.25">
      <c r="A248" s="4" t="s">
        <v>2290</v>
      </c>
      <c r="B248" s="4" t="s">
        <v>34</v>
      </c>
      <c r="D248" s="5">
        <v>99.83</v>
      </c>
      <c r="F248" s="4" t="s">
        <v>35</v>
      </c>
      <c r="G248" s="4" t="s">
        <v>2291</v>
      </c>
      <c r="H248" s="6" t="s">
        <v>11</v>
      </c>
    </row>
    <row r="249" spans="1:8" x14ac:dyDescent="0.25">
      <c r="A249" s="4" t="s">
        <v>2292</v>
      </c>
      <c r="B249" s="4" t="s">
        <v>34</v>
      </c>
      <c r="D249" s="5">
        <v>13.47</v>
      </c>
      <c r="E249" s="5">
        <v>2</v>
      </c>
      <c r="F249" s="4" t="s">
        <v>35</v>
      </c>
      <c r="G249" s="4" t="s">
        <v>2293</v>
      </c>
      <c r="H249" s="6" t="s">
        <v>11</v>
      </c>
    </row>
    <row r="250" spans="1:8" x14ac:dyDescent="0.25">
      <c r="A250" s="4" t="s">
        <v>2294</v>
      </c>
      <c r="B250" s="4" t="s">
        <v>34</v>
      </c>
      <c r="D250" s="5">
        <v>24</v>
      </c>
      <c r="F250" s="4" t="s">
        <v>35</v>
      </c>
      <c r="G250" s="4" t="s">
        <v>2295</v>
      </c>
      <c r="H250" s="6" t="s">
        <v>11</v>
      </c>
    </row>
    <row r="251" spans="1:8" x14ac:dyDescent="0.25">
      <c r="A251" s="4" t="s">
        <v>2296</v>
      </c>
      <c r="B251" s="4" t="s">
        <v>34</v>
      </c>
      <c r="D251" s="5">
        <v>25.95</v>
      </c>
      <c r="F251" s="4" t="s">
        <v>35</v>
      </c>
      <c r="G251" s="4" t="s">
        <v>2297</v>
      </c>
      <c r="H251" s="6" t="s">
        <v>11</v>
      </c>
    </row>
    <row r="252" spans="1:8" x14ac:dyDescent="0.25">
      <c r="A252" s="4" t="s">
        <v>2322</v>
      </c>
      <c r="B252" s="4" t="s">
        <v>34</v>
      </c>
      <c r="D252" s="5">
        <v>12.19</v>
      </c>
      <c r="F252" s="4" t="s">
        <v>59</v>
      </c>
      <c r="G252" s="4" t="s">
        <v>2323</v>
      </c>
      <c r="H252" s="6" t="s">
        <v>11</v>
      </c>
    </row>
    <row r="253" spans="1:8" x14ac:dyDescent="0.25">
      <c r="A253" s="4" t="s">
        <v>2325</v>
      </c>
      <c r="B253" s="4" t="s">
        <v>34</v>
      </c>
      <c r="D253" s="5">
        <v>80.42</v>
      </c>
      <c r="F253" s="4" t="s">
        <v>35</v>
      </c>
      <c r="G253" s="4" t="s">
        <v>2326</v>
      </c>
      <c r="H253" s="6" t="s">
        <v>11</v>
      </c>
    </row>
    <row r="254" spans="1:8" x14ac:dyDescent="0.25">
      <c r="A254" s="4" t="str">
        <f>"CORTE RESFRIADO PERNIL SUINO S/OSSO C/ COURO - ESTOQUE TAP "</f>
        <v xml:space="preserve">CORTE RESFRIADO PERNIL SUINO S/OSSO C/ COURO - ESTOQUE TAP </v>
      </c>
      <c r="B254" s="4" t="s">
        <v>34</v>
      </c>
      <c r="D254" s="5">
        <v>27.43</v>
      </c>
      <c r="F254" s="4" t="s">
        <v>35</v>
      </c>
      <c r="G254" s="4" t="s">
        <v>2405</v>
      </c>
      <c r="H254" s="6" t="s">
        <v>11</v>
      </c>
    </row>
    <row r="255" spans="1:8" x14ac:dyDescent="0.25">
      <c r="A255" s="4" t="s">
        <v>2407</v>
      </c>
      <c r="B255" s="4" t="s">
        <v>34</v>
      </c>
      <c r="D255" s="5">
        <v>3.59</v>
      </c>
      <c r="F255" s="4" t="s">
        <v>35</v>
      </c>
      <c r="G255" s="4" t="s">
        <v>2408</v>
      </c>
      <c r="H255" s="6" t="s">
        <v>11</v>
      </c>
    </row>
    <row r="256" spans="1:8" x14ac:dyDescent="0.25">
      <c r="A256" s="4" t="s">
        <v>2411</v>
      </c>
      <c r="B256" s="4" t="s">
        <v>34</v>
      </c>
      <c r="D256" s="5">
        <v>11.24</v>
      </c>
      <c r="F256" s="4" t="s">
        <v>9</v>
      </c>
      <c r="G256" s="4" t="s">
        <v>2412</v>
      </c>
      <c r="H256" s="6" t="s">
        <v>11</v>
      </c>
    </row>
    <row r="257" spans="1:8" x14ac:dyDescent="0.25">
      <c r="A257" s="4" t="s">
        <v>2413</v>
      </c>
      <c r="B257" s="4" t="s">
        <v>34</v>
      </c>
      <c r="D257" s="5">
        <v>13.56</v>
      </c>
      <c r="F257" s="4" t="s">
        <v>35</v>
      </c>
      <c r="G257" s="4" t="s">
        <v>2414</v>
      </c>
      <c r="H257" s="6" t="s">
        <v>11</v>
      </c>
    </row>
    <row r="258" spans="1:8" x14ac:dyDescent="0.25">
      <c r="A258" s="4" t="s">
        <v>2417</v>
      </c>
      <c r="B258" s="4" t="s">
        <v>34</v>
      </c>
      <c r="D258" s="5">
        <v>41.54</v>
      </c>
      <c r="F258" s="4" t="s">
        <v>35</v>
      </c>
      <c r="G258" s="4" t="s">
        <v>2418</v>
      </c>
      <c r="H258" s="6" t="s">
        <v>11</v>
      </c>
    </row>
    <row r="259" spans="1:8" x14ac:dyDescent="0.25">
      <c r="A259" s="4" t="s">
        <v>2425</v>
      </c>
      <c r="B259" s="4" t="s">
        <v>34</v>
      </c>
      <c r="D259" s="5">
        <v>36.5</v>
      </c>
      <c r="F259" s="4" t="s">
        <v>9</v>
      </c>
      <c r="G259" s="4" t="s">
        <v>2426</v>
      </c>
      <c r="H259" s="6" t="s">
        <v>11</v>
      </c>
    </row>
    <row r="260" spans="1:8" x14ac:dyDescent="0.25">
      <c r="A260" s="4" t="s">
        <v>2441</v>
      </c>
      <c r="B260" s="4" t="s">
        <v>34</v>
      </c>
      <c r="C260" s="5">
        <v>0.5</v>
      </c>
      <c r="F260" s="4" t="s">
        <v>9</v>
      </c>
      <c r="G260" s="4" t="s">
        <v>2442</v>
      </c>
      <c r="H260" s="6" t="s">
        <v>11</v>
      </c>
    </row>
    <row r="261" spans="1:8" x14ac:dyDescent="0.25">
      <c r="A261" s="4" t="s">
        <v>2443</v>
      </c>
      <c r="B261" s="4" t="s">
        <v>34</v>
      </c>
      <c r="C261" s="5">
        <v>2.5</v>
      </c>
      <c r="D261" s="5">
        <v>5</v>
      </c>
      <c r="F261" s="4" t="s">
        <v>9</v>
      </c>
      <c r="G261" s="4" t="s">
        <v>2444</v>
      </c>
      <c r="H261" s="6" t="s">
        <v>11</v>
      </c>
    </row>
    <row r="262" spans="1:8" x14ac:dyDescent="0.25">
      <c r="A262" s="4" t="s">
        <v>2445</v>
      </c>
      <c r="B262" s="4" t="s">
        <v>34</v>
      </c>
      <c r="C262" s="5">
        <v>5</v>
      </c>
      <c r="D262" s="5">
        <v>5</v>
      </c>
      <c r="F262" s="4" t="s">
        <v>9</v>
      </c>
      <c r="G262" s="4" t="s">
        <v>2446</v>
      </c>
      <c r="H262" s="6" t="s">
        <v>11</v>
      </c>
    </row>
    <row r="263" spans="1:8" x14ac:dyDescent="0.25">
      <c r="A263" s="4" t="s">
        <v>2459</v>
      </c>
      <c r="B263" s="4" t="s">
        <v>34</v>
      </c>
      <c r="D263" s="5">
        <v>5</v>
      </c>
      <c r="F263" s="4" t="s">
        <v>35</v>
      </c>
      <c r="G263" s="4" t="s">
        <v>2460</v>
      </c>
      <c r="H263" s="6" t="s">
        <v>11</v>
      </c>
    </row>
    <row r="264" spans="1:8" x14ac:dyDescent="0.25">
      <c r="A264" s="4" t="s">
        <v>2465</v>
      </c>
      <c r="B264" s="4" t="s">
        <v>34</v>
      </c>
      <c r="F264" s="4" t="s">
        <v>9</v>
      </c>
      <c r="G264" s="4" t="s">
        <v>2466</v>
      </c>
      <c r="H264" s="6" t="s">
        <v>11</v>
      </c>
    </row>
    <row r="265" spans="1:8" x14ac:dyDescent="0.25">
      <c r="A265" s="4" t="s">
        <v>2467</v>
      </c>
      <c r="B265" s="4" t="s">
        <v>34</v>
      </c>
      <c r="F265" s="4" t="s">
        <v>9</v>
      </c>
      <c r="G265" s="4" t="s">
        <v>2468</v>
      </c>
      <c r="H265" s="6" t="s">
        <v>11</v>
      </c>
    </row>
    <row r="266" spans="1:8" x14ac:dyDescent="0.25">
      <c r="A266" s="4" t="s">
        <v>2731</v>
      </c>
      <c r="B266" s="4" t="s">
        <v>34</v>
      </c>
      <c r="F266" s="4" t="s">
        <v>9</v>
      </c>
      <c r="G266" s="4" t="s">
        <v>2732</v>
      </c>
      <c r="H266" s="6" t="s">
        <v>11</v>
      </c>
    </row>
    <row r="267" spans="1:8" x14ac:dyDescent="0.25">
      <c r="A267" s="4" t="s">
        <v>2733</v>
      </c>
      <c r="B267" s="4" t="s">
        <v>34</v>
      </c>
      <c r="F267" s="4" t="s">
        <v>9</v>
      </c>
      <c r="G267" s="4" t="s">
        <v>2734</v>
      </c>
      <c r="H267" s="6" t="s">
        <v>11</v>
      </c>
    </row>
    <row r="268" spans="1:8" x14ac:dyDescent="0.25">
      <c r="A268" s="4" t="s">
        <v>2735</v>
      </c>
      <c r="B268" s="4" t="s">
        <v>34</v>
      </c>
      <c r="F268" s="4" t="s">
        <v>9</v>
      </c>
      <c r="G268" s="4" t="s">
        <v>2736</v>
      </c>
      <c r="H268" s="6" t="s">
        <v>11</v>
      </c>
    </row>
    <row r="269" spans="1:8" x14ac:dyDescent="0.25">
      <c r="A269" s="4" t="s">
        <v>2737</v>
      </c>
      <c r="B269" s="4" t="s">
        <v>34</v>
      </c>
      <c r="F269" s="4" t="s">
        <v>35</v>
      </c>
      <c r="G269" s="4" t="s">
        <v>2738</v>
      </c>
      <c r="H269" s="6" t="s">
        <v>11</v>
      </c>
    </row>
    <row r="270" spans="1:8" x14ac:dyDescent="0.25">
      <c r="A270" s="4" t="s">
        <v>2739</v>
      </c>
      <c r="B270" s="4" t="s">
        <v>34</v>
      </c>
      <c r="F270" s="4" t="s">
        <v>35</v>
      </c>
      <c r="G270" s="4" t="s">
        <v>2740</v>
      </c>
      <c r="H270" s="6" t="s">
        <v>11</v>
      </c>
    </row>
    <row r="271" spans="1:8" x14ac:dyDescent="0.25">
      <c r="A271" s="4" t="s">
        <v>2745</v>
      </c>
      <c r="B271" s="4" t="s">
        <v>34</v>
      </c>
      <c r="D271" s="5">
        <v>60</v>
      </c>
      <c r="F271" s="4" t="s">
        <v>35</v>
      </c>
      <c r="G271" s="4" t="s">
        <v>2746</v>
      </c>
      <c r="H271" s="6" t="s">
        <v>11</v>
      </c>
    </row>
    <row r="272" spans="1:8" x14ac:dyDescent="0.25">
      <c r="A272" s="4" t="s">
        <v>2753</v>
      </c>
      <c r="B272" s="4" t="s">
        <v>34</v>
      </c>
      <c r="F272" s="4" t="s">
        <v>9</v>
      </c>
      <c r="G272" s="4" t="s">
        <v>2754</v>
      </c>
      <c r="H272" s="6" t="s">
        <v>11</v>
      </c>
    </row>
    <row r="273" spans="1:8" x14ac:dyDescent="0.25">
      <c r="A273" s="4" t="s">
        <v>2755</v>
      </c>
      <c r="B273" s="4" t="s">
        <v>34</v>
      </c>
      <c r="F273" s="4" t="s">
        <v>9</v>
      </c>
      <c r="G273" s="4" t="s">
        <v>2756</v>
      </c>
      <c r="H273" s="6" t="s">
        <v>11</v>
      </c>
    </row>
    <row r="274" spans="1:8" x14ac:dyDescent="0.25">
      <c r="A274" s="4" t="s">
        <v>2761</v>
      </c>
      <c r="B274" s="4" t="s">
        <v>34</v>
      </c>
      <c r="D274" s="5">
        <v>8.25</v>
      </c>
      <c r="F274" s="4" t="s">
        <v>9</v>
      </c>
      <c r="G274" s="4" t="s">
        <v>2762</v>
      </c>
      <c r="H274" s="6" t="s">
        <v>11</v>
      </c>
    </row>
    <row r="275" spans="1:8" x14ac:dyDescent="0.25">
      <c r="A275" s="4" t="s">
        <v>2763</v>
      </c>
      <c r="B275" s="4" t="s">
        <v>34</v>
      </c>
      <c r="F275" s="4" t="s">
        <v>35</v>
      </c>
      <c r="G275" s="4" t="s">
        <v>2764</v>
      </c>
      <c r="H275" s="6" t="s">
        <v>11</v>
      </c>
    </row>
    <row r="276" spans="1:8" x14ac:dyDescent="0.25">
      <c r="A276" s="4" t="s">
        <v>2773</v>
      </c>
      <c r="B276" s="4" t="s">
        <v>34</v>
      </c>
      <c r="F276" s="4" t="s">
        <v>9</v>
      </c>
      <c r="G276" s="4" t="s">
        <v>2774</v>
      </c>
      <c r="H276" s="6" t="s">
        <v>11</v>
      </c>
    </row>
    <row r="277" spans="1:8" x14ac:dyDescent="0.25">
      <c r="A277" s="4" t="s">
        <v>2775</v>
      </c>
      <c r="B277" s="4" t="s">
        <v>34</v>
      </c>
      <c r="F277" s="4" t="s">
        <v>35</v>
      </c>
      <c r="G277" s="4" t="s">
        <v>2776</v>
      </c>
      <c r="H277" s="6" t="s">
        <v>11</v>
      </c>
    </row>
    <row r="278" spans="1:8" x14ac:dyDescent="0.25">
      <c r="A278" s="4" t="s">
        <v>2777</v>
      </c>
      <c r="B278" s="4" t="s">
        <v>34</v>
      </c>
      <c r="D278" s="5">
        <v>5.75</v>
      </c>
      <c r="F278" s="4" t="s">
        <v>9</v>
      </c>
      <c r="G278" s="4" t="s">
        <v>2778</v>
      </c>
      <c r="H278" s="6" t="s">
        <v>11</v>
      </c>
    </row>
    <row r="279" spans="1:8" x14ac:dyDescent="0.25">
      <c r="A279" s="4" t="s">
        <v>2779</v>
      </c>
      <c r="B279" s="4" t="s">
        <v>34</v>
      </c>
      <c r="F279" s="4" t="s">
        <v>9</v>
      </c>
      <c r="G279" s="4" t="s">
        <v>2780</v>
      </c>
      <c r="H279" s="6" t="s">
        <v>11</v>
      </c>
    </row>
    <row r="280" spans="1:8" x14ac:dyDescent="0.25">
      <c r="A280" s="4" t="s">
        <v>2785</v>
      </c>
      <c r="B280" s="4" t="s">
        <v>34</v>
      </c>
      <c r="D280" s="5">
        <v>35.979999999999997</v>
      </c>
      <c r="F280" s="4" t="s">
        <v>59</v>
      </c>
      <c r="G280" s="4" t="s">
        <v>2786</v>
      </c>
      <c r="H280" s="6" t="s">
        <v>11</v>
      </c>
    </row>
    <row r="281" spans="1:8" x14ac:dyDescent="0.25">
      <c r="A281" s="4" t="s">
        <v>2787</v>
      </c>
      <c r="B281" s="4" t="s">
        <v>34</v>
      </c>
      <c r="D281" s="5">
        <v>54.98</v>
      </c>
      <c r="F281" s="4" t="s">
        <v>35</v>
      </c>
      <c r="G281" s="4" t="s">
        <v>2788</v>
      </c>
      <c r="H281" s="6" t="s">
        <v>11</v>
      </c>
    </row>
    <row r="282" spans="1:8" x14ac:dyDescent="0.25">
      <c r="A282" s="4" t="s">
        <v>2793</v>
      </c>
      <c r="B282" s="4" t="s">
        <v>34</v>
      </c>
      <c r="F282" s="4" t="s">
        <v>9</v>
      </c>
      <c r="G282" s="4" t="s">
        <v>2794</v>
      </c>
      <c r="H282" s="6" t="s">
        <v>11</v>
      </c>
    </row>
    <row r="283" spans="1:8" x14ac:dyDescent="0.25">
      <c r="A283" s="4" t="s">
        <v>2805</v>
      </c>
      <c r="B283" s="4" t="s">
        <v>34</v>
      </c>
      <c r="D283" s="5">
        <v>19.98</v>
      </c>
      <c r="F283" s="4" t="s">
        <v>35</v>
      </c>
      <c r="G283" s="4" t="s">
        <v>2806</v>
      </c>
      <c r="H283" s="6" t="s">
        <v>11</v>
      </c>
    </row>
    <row r="284" spans="1:8" x14ac:dyDescent="0.25">
      <c r="A284" s="4" t="str">
        <f>"EMPANADA DE CAPRESE "</f>
        <v xml:space="preserve">EMPANADA DE CAPRESE </v>
      </c>
      <c r="B284" s="4" t="s">
        <v>34</v>
      </c>
      <c r="D284" s="5">
        <v>7.7</v>
      </c>
      <c r="F284" s="4" t="s">
        <v>9</v>
      </c>
      <c r="G284" s="4" t="s">
        <v>2868</v>
      </c>
      <c r="H284" s="6" t="s">
        <v>11</v>
      </c>
    </row>
    <row r="285" spans="1:8" x14ac:dyDescent="0.25">
      <c r="A285" s="4" t="str">
        <f>"EMPANADA DE CARNE  "</f>
        <v xml:space="preserve">EMPANADA DE CARNE  </v>
      </c>
      <c r="B285" s="4" t="s">
        <v>34</v>
      </c>
      <c r="D285" s="5">
        <v>8.01</v>
      </c>
      <c r="F285" s="4" t="s">
        <v>9</v>
      </c>
      <c r="G285" s="4" t="s">
        <v>2871</v>
      </c>
      <c r="H285" s="6" t="s">
        <v>11</v>
      </c>
    </row>
    <row r="286" spans="1:8" x14ac:dyDescent="0.25">
      <c r="A286" s="4" t="str">
        <f>"EMPANADA DE FRANGO "</f>
        <v xml:space="preserve">EMPANADA DE FRANGO </v>
      </c>
      <c r="B286" s="4" t="s">
        <v>34</v>
      </c>
      <c r="D286" s="5">
        <v>7</v>
      </c>
      <c r="F286" s="4" t="s">
        <v>9</v>
      </c>
      <c r="G286" s="4" t="s">
        <v>2872</v>
      </c>
      <c r="H286" s="6" t="s">
        <v>11</v>
      </c>
    </row>
    <row r="287" spans="1:8" x14ac:dyDescent="0.25">
      <c r="A287" s="4" t="s">
        <v>2873</v>
      </c>
      <c r="B287" s="4" t="s">
        <v>34</v>
      </c>
      <c r="D287" s="5">
        <v>7.52</v>
      </c>
      <c r="F287" s="4" t="s">
        <v>9</v>
      </c>
      <c r="G287" s="4" t="s">
        <v>2874</v>
      </c>
      <c r="H287" s="6" t="s">
        <v>11</v>
      </c>
    </row>
    <row r="288" spans="1:8" x14ac:dyDescent="0.25">
      <c r="A288" s="4" t="s">
        <v>2876</v>
      </c>
      <c r="B288" s="4" t="s">
        <v>34</v>
      </c>
      <c r="D288" s="5">
        <v>7.74</v>
      </c>
      <c r="F288" s="4" t="s">
        <v>9</v>
      </c>
      <c r="G288" s="4" t="s">
        <v>2878</v>
      </c>
      <c r="H288" s="6" t="s">
        <v>11</v>
      </c>
    </row>
    <row r="289" spans="1:8" x14ac:dyDescent="0.25">
      <c r="A289" s="4" t="s">
        <v>2879</v>
      </c>
      <c r="B289" s="4" t="s">
        <v>34</v>
      </c>
      <c r="D289" s="5">
        <v>1.08</v>
      </c>
      <c r="F289" s="4" t="s">
        <v>9</v>
      </c>
      <c r="G289" s="4" t="s">
        <v>2880</v>
      </c>
      <c r="H289" s="6" t="s">
        <v>11</v>
      </c>
    </row>
    <row r="290" spans="1:8" x14ac:dyDescent="0.25">
      <c r="A290" s="4" t="str">
        <f>"EMULSIFICANTE - ESTOQUE TAP "</f>
        <v xml:space="preserve">EMULSIFICANTE - ESTOQUE TAP </v>
      </c>
      <c r="B290" s="4" t="s">
        <v>34</v>
      </c>
      <c r="D290" s="5">
        <v>17.72</v>
      </c>
      <c r="F290" s="4" t="s">
        <v>35</v>
      </c>
      <c r="G290" s="4" t="s">
        <v>2881</v>
      </c>
      <c r="H290" s="6" t="s">
        <v>11</v>
      </c>
    </row>
    <row r="291" spans="1:8" x14ac:dyDescent="0.25">
      <c r="A291" s="4" t="str">
        <f>"ERVA MATE AMARELA - ESTOQUE TAP "</f>
        <v xml:space="preserve">ERVA MATE AMARELA - ESTOQUE TAP </v>
      </c>
      <c r="B291" s="4" t="s">
        <v>34</v>
      </c>
      <c r="D291" s="5">
        <v>75</v>
      </c>
      <c r="F291" s="4" t="s">
        <v>35</v>
      </c>
      <c r="G291" s="4" t="s">
        <v>2887</v>
      </c>
      <c r="H291" s="6" t="s">
        <v>11</v>
      </c>
    </row>
    <row r="292" spans="1:8" x14ac:dyDescent="0.25">
      <c r="A292" s="4" t="str">
        <f>"ERVA MATE TOSTADA - ESTOQUE TAP "</f>
        <v xml:space="preserve">ERVA MATE TOSTADA - ESTOQUE TAP </v>
      </c>
      <c r="B292" s="4" t="s">
        <v>34</v>
      </c>
      <c r="D292" s="5">
        <v>75</v>
      </c>
      <c r="F292" s="4" t="s">
        <v>35</v>
      </c>
      <c r="G292" s="4" t="s">
        <v>2888</v>
      </c>
      <c r="H292" s="6" t="s">
        <v>11</v>
      </c>
    </row>
    <row r="293" spans="1:8" x14ac:dyDescent="0.25">
      <c r="A293" s="4" t="str">
        <f>"ERVA MATE VERDE - ESTOQUE TAP "</f>
        <v xml:space="preserve">ERVA MATE VERDE - ESTOQUE TAP </v>
      </c>
      <c r="B293" s="4" t="s">
        <v>34</v>
      </c>
      <c r="D293" s="5">
        <v>75</v>
      </c>
      <c r="F293" s="4" t="s">
        <v>35</v>
      </c>
      <c r="G293" s="4" t="s">
        <v>2889</v>
      </c>
      <c r="H293" s="6" t="s">
        <v>11</v>
      </c>
    </row>
    <row r="294" spans="1:8" x14ac:dyDescent="0.25">
      <c r="A294" s="4" t="s">
        <v>2890</v>
      </c>
      <c r="B294" s="4" t="s">
        <v>34</v>
      </c>
      <c r="F294" s="4" t="s">
        <v>35</v>
      </c>
      <c r="G294" s="4" t="s">
        <v>2891</v>
      </c>
      <c r="H294" s="6" t="s">
        <v>11</v>
      </c>
    </row>
    <row r="295" spans="1:8" x14ac:dyDescent="0.25">
      <c r="A295" s="4" t="s">
        <v>2932</v>
      </c>
      <c r="B295" s="4" t="s">
        <v>34</v>
      </c>
      <c r="D295" s="5">
        <v>18.86</v>
      </c>
      <c r="F295" s="4" t="s">
        <v>59</v>
      </c>
      <c r="G295" s="4" t="s">
        <v>2933</v>
      </c>
      <c r="H295" s="6" t="s">
        <v>11</v>
      </c>
    </row>
    <row r="296" spans="1:8" x14ac:dyDescent="0.25">
      <c r="A296" s="4" t="s">
        <v>2939</v>
      </c>
      <c r="B296" s="4" t="s">
        <v>34</v>
      </c>
      <c r="D296" s="5">
        <v>7.63</v>
      </c>
      <c r="F296" s="4" t="s">
        <v>35</v>
      </c>
      <c r="G296" s="4" t="s">
        <v>2940</v>
      </c>
      <c r="H296" s="6" t="s">
        <v>11</v>
      </c>
    </row>
    <row r="297" spans="1:8" x14ac:dyDescent="0.25">
      <c r="A297" s="4" t="s">
        <v>2941</v>
      </c>
      <c r="B297" s="4" t="s">
        <v>34</v>
      </c>
      <c r="F297" s="4" t="s">
        <v>35</v>
      </c>
      <c r="G297" s="4" t="s">
        <v>2942</v>
      </c>
      <c r="H297" s="6" t="s">
        <v>11</v>
      </c>
    </row>
    <row r="298" spans="1:8" x14ac:dyDescent="0.25">
      <c r="A298" s="4" t="s">
        <v>2953</v>
      </c>
      <c r="B298" s="4" t="s">
        <v>34</v>
      </c>
      <c r="D298" s="5">
        <v>4.47</v>
      </c>
      <c r="F298" s="4" t="s">
        <v>35</v>
      </c>
      <c r="G298" s="4" t="s">
        <v>2954</v>
      </c>
      <c r="H298" s="6" t="s">
        <v>11</v>
      </c>
    </row>
    <row r="299" spans="1:8" x14ac:dyDescent="0.25">
      <c r="A299" s="4" t="s">
        <v>2955</v>
      </c>
      <c r="B299" s="4" t="s">
        <v>34</v>
      </c>
      <c r="D299" s="5">
        <v>16.559999999999999</v>
      </c>
      <c r="E299" s="5">
        <v>76</v>
      </c>
      <c r="F299" s="4" t="s">
        <v>35</v>
      </c>
      <c r="G299" s="4" t="s">
        <v>2956</v>
      </c>
      <c r="H299" s="6" t="s">
        <v>11</v>
      </c>
    </row>
    <row r="300" spans="1:8" x14ac:dyDescent="0.25">
      <c r="A300" s="4" t="s">
        <v>2957</v>
      </c>
      <c r="B300" s="4" t="s">
        <v>34</v>
      </c>
      <c r="F300" s="4" t="s">
        <v>35</v>
      </c>
      <c r="G300" s="4" t="s">
        <v>2958</v>
      </c>
      <c r="H300" s="6" t="s">
        <v>11</v>
      </c>
    </row>
    <row r="301" spans="1:8" x14ac:dyDescent="0.25">
      <c r="A301" s="4" t="s">
        <v>2959</v>
      </c>
      <c r="B301" s="4" t="s">
        <v>34</v>
      </c>
      <c r="D301" s="5">
        <v>7.2</v>
      </c>
      <c r="F301" s="4" t="s">
        <v>35</v>
      </c>
      <c r="G301" s="4" t="s">
        <v>2960</v>
      </c>
      <c r="H301" s="6" t="s">
        <v>11</v>
      </c>
    </row>
    <row r="302" spans="1:8" x14ac:dyDescent="0.25">
      <c r="A302" s="4" t="s">
        <v>2961</v>
      </c>
      <c r="B302" s="4" t="s">
        <v>34</v>
      </c>
      <c r="D302" s="5">
        <v>4</v>
      </c>
      <c r="F302" s="4" t="s">
        <v>35</v>
      </c>
      <c r="G302" s="4" t="s">
        <v>2962</v>
      </c>
      <c r="H302" s="6" t="s">
        <v>11</v>
      </c>
    </row>
    <row r="303" spans="1:8" x14ac:dyDescent="0.25">
      <c r="A303" s="4" t="s">
        <v>2963</v>
      </c>
      <c r="B303" s="4" t="s">
        <v>34</v>
      </c>
      <c r="F303" s="4" t="s">
        <v>35</v>
      </c>
      <c r="G303" s="4" t="s">
        <v>2964</v>
      </c>
      <c r="H303" s="6" t="s">
        <v>11</v>
      </c>
    </row>
    <row r="304" spans="1:8" x14ac:dyDescent="0.25">
      <c r="A304" s="4" t="str">
        <f>"FAROFA DE MANDIOCA - ESTOQUE TAP "</f>
        <v xml:space="preserve">FAROFA DE MANDIOCA - ESTOQUE TAP </v>
      </c>
      <c r="B304" s="4" t="s">
        <v>34</v>
      </c>
      <c r="D304" s="5">
        <v>12.6</v>
      </c>
      <c r="F304" s="4" t="s">
        <v>35</v>
      </c>
      <c r="G304" s="4" t="s">
        <v>2969</v>
      </c>
      <c r="H304" s="6" t="s">
        <v>11</v>
      </c>
    </row>
    <row r="305" spans="1:8" x14ac:dyDescent="0.25">
      <c r="A305" s="4" t="s">
        <v>2970</v>
      </c>
      <c r="B305" s="4" t="s">
        <v>34</v>
      </c>
      <c r="D305" s="5">
        <v>36.99</v>
      </c>
      <c r="F305" s="4" t="s">
        <v>35</v>
      </c>
      <c r="G305" s="4" t="s">
        <v>2971</v>
      </c>
      <c r="H305" s="6" t="s">
        <v>11</v>
      </c>
    </row>
    <row r="306" spans="1:8" x14ac:dyDescent="0.25">
      <c r="A306" s="4" t="s">
        <v>2972</v>
      </c>
      <c r="B306" s="4" t="s">
        <v>34</v>
      </c>
      <c r="D306" s="5">
        <v>8.23</v>
      </c>
      <c r="F306" s="4" t="s">
        <v>35</v>
      </c>
      <c r="G306" s="4" t="s">
        <v>2973</v>
      </c>
      <c r="H306" s="6" t="s">
        <v>11</v>
      </c>
    </row>
    <row r="307" spans="1:8" x14ac:dyDescent="0.25">
      <c r="A307" s="4" t="s">
        <v>2976</v>
      </c>
      <c r="B307" s="4" t="s">
        <v>34</v>
      </c>
      <c r="D307" s="5">
        <v>7.47</v>
      </c>
      <c r="F307" s="4" t="s">
        <v>35</v>
      </c>
      <c r="G307" s="4" t="s">
        <v>2977</v>
      </c>
      <c r="H307" s="6" t="s">
        <v>11</v>
      </c>
    </row>
    <row r="308" spans="1:8" x14ac:dyDescent="0.25">
      <c r="A308" s="4" t="s">
        <v>2978</v>
      </c>
      <c r="B308" s="4" t="s">
        <v>34</v>
      </c>
      <c r="D308" s="5">
        <v>2.76</v>
      </c>
      <c r="F308" s="4" t="s">
        <v>35</v>
      </c>
      <c r="G308" s="4" t="s">
        <v>2979</v>
      </c>
      <c r="H308" s="6" t="s">
        <v>11</v>
      </c>
    </row>
    <row r="309" spans="1:8" x14ac:dyDescent="0.25">
      <c r="A309" s="4" t="s">
        <v>2980</v>
      </c>
      <c r="B309" s="4" t="s">
        <v>34</v>
      </c>
      <c r="D309" s="5">
        <v>23.2</v>
      </c>
      <c r="E309" s="5">
        <v>2</v>
      </c>
      <c r="F309" s="4" t="s">
        <v>9</v>
      </c>
      <c r="G309" s="4" t="s">
        <v>2981</v>
      </c>
      <c r="H309" s="6" t="s">
        <v>11</v>
      </c>
    </row>
    <row r="310" spans="1:8" x14ac:dyDescent="0.25">
      <c r="A310" s="4" t="str">
        <f>"FIGO - ESTOQUE TAP "</f>
        <v xml:space="preserve">FIGO - ESTOQUE TAP </v>
      </c>
      <c r="B310" s="4" t="s">
        <v>34</v>
      </c>
      <c r="D310" s="5">
        <v>17.989999999999998</v>
      </c>
      <c r="F310" s="4" t="s">
        <v>9</v>
      </c>
      <c r="G310" s="4" t="s">
        <v>2991</v>
      </c>
      <c r="H310" s="6" t="s">
        <v>11</v>
      </c>
    </row>
    <row r="311" spans="1:8" x14ac:dyDescent="0.25">
      <c r="A311" s="4" t="str">
        <f>"FILE DE COSTELA BOVINA SEM OSSO - ESTOQUE TAP "</f>
        <v xml:space="preserve">FILE DE COSTELA BOVINA SEM OSSO - ESTOQUE TAP </v>
      </c>
      <c r="B311" s="4" t="s">
        <v>34</v>
      </c>
      <c r="D311" s="5">
        <v>62.62</v>
      </c>
      <c r="F311" s="4" t="s">
        <v>35</v>
      </c>
      <c r="G311" s="4" t="s">
        <v>2994</v>
      </c>
      <c r="H311" s="6" t="s">
        <v>11</v>
      </c>
    </row>
    <row r="312" spans="1:8" x14ac:dyDescent="0.25">
      <c r="A312" s="4" t="s">
        <v>2995</v>
      </c>
      <c r="B312" s="4" t="s">
        <v>34</v>
      </c>
      <c r="D312" s="5">
        <v>13.12</v>
      </c>
      <c r="F312" s="4" t="s">
        <v>35</v>
      </c>
      <c r="G312" s="4" t="s">
        <v>2996</v>
      </c>
      <c r="H312" s="6" t="s">
        <v>11</v>
      </c>
    </row>
    <row r="313" spans="1:8" x14ac:dyDescent="0.25">
      <c r="A313" s="4" t="str">
        <f>"FILE DE PEITO DE FRANGO - ESTOQUE TAP "</f>
        <v xml:space="preserve">FILE DE PEITO DE FRANGO - ESTOQUE TAP </v>
      </c>
      <c r="B313" s="4" t="s">
        <v>34</v>
      </c>
      <c r="D313" s="5">
        <v>19.579999999999998</v>
      </c>
      <c r="F313" s="4" t="s">
        <v>35</v>
      </c>
      <c r="G313" s="4" t="s">
        <v>2997</v>
      </c>
      <c r="H313" s="6" t="s">
        <v>11</v>
      </c>
    </row>
    <row r="314" spans="1:8" x14ac:dyDescent="0.25">
      <c r="A314" s="4" t="s">
        <v>3023</v>
      </c>
      <c r="B314" s="4" t="s">
        <v>34</v>
      </c>
      <c r="D314" s="5">
        <v>23.88</v>
      </c>
      <c r="F314" s="4" t="s">
        <v>35</v>
      </c>
      <c r="G314" s="4" t="s">
        <v>3024</v>
      </c>
      <c r="H314" s="6" t="s">
        <v>11</v>
      </c>
    </row>
    <row r="315" spans="1:8" x14ac:dyDescent="0.25">
      <c r="A315" s="4" t="s">
        <v>3027</v>
      </c>
      <c r="B315" s="4" t="s">
        <v>34</v>
      </c>
      <c r="D315" s="5">
        <v>45</v>
      </c>
      <c r="F315" s="4" t="s">
        <v>35</v>
      </c>
      <c r="G315" s="4" t="s">
        <v>3028</v>
      </c>
      <c r="H315" s="6" t="s">
        <v>11</v>
      </c>
    </row>
    <row r="316" spans="1:8" x14ac:dyDescent="0.25">
      <c r="A316" s="4" t="s">
        <v>3043</v>
      </c>
      <c r="B316" s="4" t="s">
        <v>34</v>
      </c>
      <c r="D316" s="5">
        <v>4.2300000000000004</v>
      </c>
      <c r="F316" s="4" t="s">
        <v>35</v>
      </c>
      <c r="G316" s="4" t="s">
        <v>3044</v>
      </c>
      <c r="H316" s="6" t="s">
        <v>11</v>
      </c>
    </row>
    <row r="317" spans="1:8" x14ac:dyDescent="0.25">
      <c r="A317" s="4" t="s">
        <v>3049</v>
      </c>
      <c r="B317" s="4" t="s">
        <v>34</v>
      </c>
      <c r="F317" s="4" t="s">
        <v>35</v>
      </c>
      <c r="G317" s="4" t="s">
        <v>3050</v>
      </c>
      <c r="H317" s="6" t="s">
        <v>11</v>
      </c>
    </row>
    <row r="318" spans="1:8" x14ac:dyDescent="0.25">
      <c r="A318" s="4" t="s">
        <v>3051</v>
      </c>
      <c r="B318" s="4" t="s">
        <v>34</v>
      </c>
      <c r="F318" s="4" t="s">
        <v>9</v>
      </c>
      <c r="G318" s="4" t="s">
        <v>3052</v>
      </c>
      <c r="H318" s="6" t="s">
        <v>11</v>
      </c>
    </row>
    <row r="319" spans="1:8" x14ac:dyDescent="0.25">
      <c r="A319" s="4" t="s">
        <v>3098</v>
      </c>
      <c r="B319" s="4" t="s">
        <v>34</v>
      </c>
      <c r="D319" s="5">
        <v>61.1</v>
      </c>
      <c r="E319" s="5">
        <v>5.66</v>
      </c>
      <c r="F319" s="4" t="s">
        <v>35</v>
      </c>
      <c r="G319" s="4" t="s">
        <v>3099</v>
      </c>
      <c r="H319" s="6" t="s">
        <v>11</v>
      </c>
    </row>
    <row r="320" spans="1:8" x14ac:dyDescent="0.25">
      <c r="A320" s="4" t="s">
        <v>3100</v>
      </c>
      <c r="B320" s="4" t="s">
        <v>34</v>
      </c>
      <c r="F320" s="4" t="s">
        <v>35</v>
      </c>
      <c r="G320" s="4" t="s">
        <v>3101</v>
      </c>
      <c r="H320" s="6" t="s">
        <v>11</v>
      </c>
    </row>
    <row r="321" spans="1:8" x14ac:dyDescent="0.25">
      <c r="A321" s="4" t="s">
        <v>3108</v>
      </c>
      <c r="B321" s="4" t="s">
        <v>34</v>
      </c>
      <c r="D321" s="5">
        <v>14.9</v>
      </c>
      <c r="F321" s="4" t="s">
        <v>35</v>
      </c>
      <c r="G321" s="4" t="s">
        <v>3109</v>
      </c>
      <c r="H321" s="6" t="s">
        <v>11</v>
      </c>
    </row>
    <row r="322" spans="1:8" x14ac:dyDescent="0.25">
      <c r="A322" s="4" t="s">
        <v>3154</v>
      </c>
      <c r="B322" s="4" t="s">
        <v>34</v>
      </c>
      <c r="D322" s="5">
        <v>35</v>
      </c>
      <c r="F322" s="4" t="s">
        <v>35</v>
      </c>
      <c r="G322" s="4" t="s">
        <v>3155</v>
      </c>
      <c r="H322" s="6" t="s">
        <v>11</v>
      </c>
    </row>
    <row r="323" spans="1:8" x14ac:dyDescent="0.25">
      <c r="A323" s="4" t="s">
        <v>3170</v>
      </c>
      <c r="B323" s="4" t="s">
        <v>34</v>
      </c>
      <c r="F323" s="4" t="s">
        <v>9</v>
      </c>
      <c r="G323" s="4" t="s">
        <v>3171</v>
      </c>
      <c r="H323" s="6" t="s">
        <v>11</v>
      </c>
    </row>
    <row r="324" spans="1:8" x14ac:dyDescent="0.25">
      <c r="A324" s="4" t="s">
        <v>3172</v>
      </c>
      <c r="B324" s="4" t="s">
        <v>34</v>
      </c>
      <c r="D324" s="5">
        <v>44.35</v>
      </c>
      <c r="F324" s="4" t="s">
        <v>9</v>
      </c>
      <c r="G324" s="4" t="s">
        <v>3173</v>
      </c>
      <c r="H324" s="6" t="s">
        <v>11</v>
      </c>
    </row>
    <row r="325" spans="1:8" x14ac:dyDescent="0.25">
      <c r="A325" s="4" t="s">
        <v>3182</v>
      </c>
      <c r="B325" s="4" t="s">
        <v>34</v>
      </c>
      <c r="D325" s="5">
        <v>21</v>
      </c>
      <c r="F325" s="4" t="s">
        <v>35</v>
      </c>
      <c r="G325" s="4" t="s">
        <v>3183</v>
      </c>
      <c r="H325" s="6" t="s">
        <v>11</v>
      </c>
    </row>
    <row r="326" spans="1:8" x14ac:dyDescent="0.25">
      <c r="A326" s="4" t="s">
        <v>3184</v>
      </c>
      <c r="B326" s="4" t="s">
        <v>34</v>
      </c>
      <c r="D326" s="5">
        <v>20.84</v>
      </c>
      <c r="E326" s="5">
        <v>18</v>
      </c>
      <c r="F326" s="4" t="s">
        <v>35</v>
      </c>
      <c r="G326" s="4" t="s">
        <v>3185</v>
      </c>
      <c r="H326" s="6" t="s">
        <v>11</v>
      </c>
    </row>
    <row r="327" spans="1:8" x14ac:dyDescent="0.25">
      <c r="A327" s="4" t="s">
        <v>3186</v>
      </c>
      <c r="B327" s="4" t="s">
        <v>34</v>
      </c>
      <c r="D327" s="5">
        <v>4.45</v>
      </c>
      <c r="F327" s="4" t="s">
        <v>9</v>
      </c>
      <c r="G327" s="4" t="s">
        <v>3187</v>
      </c>
      <c r="H327" s="6" t="s">
        <v>11</v>
      </c>
    </row>
    <row r="328" spans="1:8" x14ac:dyDescent="0.25">
      <c r="A328" s="4" t="s">
        <v>3188</v>
      </c>
      <c r="B328" s="4" t="s">
        <v>34</v>
      </c>
      <c r="D328" s="5">
        <v>2.31</v>
      </c>
      <c r="F328" s="4" t="s">
        <v>9</v>
      </c>
      <c r="G328" s="4" t="s">
        <v>3189</v>
      </c>
      <c r="H328" s="6" t="s">
        <v>11</v>
      </c>
    </row>
    <row r="329" spans="1:8" x14ac:dyDescent="0.25">
      <c r="A329" s="4" t="s">
        <v>3198</v>
      </c>
      <c r="B329" s="4" t="s">
        <v>34</v>
      </c>
      <c r="D329" s="5">
        <v>6.73</v>
      </c>
      <c r="F329" s="4" t="s">
        <v>9</v>
      </c>
      <c r="G329" s="4" t="s">
        <v>3199</v>
      </c>
      <c r="H329" s="6" t="s">
        <v>11</v>
      </c>
    </row>
    <row r="330" spans="1:8" x14ac:dyDescent="0.25">
      <c r="A330" s="4" t="s">
        <v>3208</v>
      </c>
      <c r="B330" s="4" t="s">
        <v>34</v>
      </c>
      <c r="D330" s="5">
        <v>18.64</v>
      </c>
      <c r="F330" s="4" t="s">
        <v>35</v>
      </c>
      <c r="G330" s="4" t="s">
        <v>3209</v>
      </c>
      <c r="H330" s="6" t="s">
        <v>11</v>
      </c>
    </row>
    <row r="331" spans="1:8" x14ac:dyDescent="0.25">
      <c r="A331" s="4" t="s">
        <v>3219</v>
      </c>
      <c r="B331" s="4" t="s">
        <v>34</v>
      </c>
      <c r="F331" s="4" t="s">
        <v>9</v>
      </c>
      <c r="G331" s="4" t="s">
        <v>3220</v>
      </c>
      <c r="H331" s="6" t="s">
        <v>11</v>
      </c>
    </row>
    <row r="332" spans="1:8" x14ac:dyDescent="0.25">
      <c r="A332" s="4" t="s">
        <v>3221</v>
      </c>
      <c r="B332" s="4" t="s">
        <v>34</v>
      </c>
      <c r="F332" s="4" t="s">
        <v>9</v>
      </c>
      <c r="G332" s="4" t="s">
        <v>3222</v>
      </c>
      <c r="H332" s="6" t="s">
        <v>11</v>
      </c>
    </row>
    <row r="333" spans="1:8" x14ac:dyDescent="0.25">
      <c r="A333" s="4" t="s">
        <v>3262</v>
      </c>
      <c r="B333" s="4" t="s">
        <v>34</v>
      </c>
      <c r="D333" s="5">
        <v>11.34</v>
      </c>
      <c r="F333" s="4" t="s">
        <v>35</v>
      </c>
      <c r="G333" s="4" t="s">
        <v>3263</v>
      </c>
      <c r="H333" s="6" t="s">
        <v>11</v>
      </c>
    </row>
    <row r="334" spans="1:8" x14ac:dyDescent="0.25">
      <c r="A334" s="4" t="str">
        <f>"LEITE CONDENSADO  "</f>
        <v xml:space="preserve">LEITE CONDENSADO  </v>
      </c>
      <c r="B334" s="4" t="s">
        <v>34</v>
      </c>
      <c r="D334" s="5">
        <v>11.98</v>
      </c>
      <c r="F334" s="4" t="s">
        <v>35</v>
      </c>
      <c r="G334" s="4" t="s">
        <v>3285</v>
      </c>
      <c r="H334" s="6" t="s">
        <v>11</v>
      </c>
    </row>
    <row r="335" spans="1:8" x14ac:dyDescent="0.25">
      <c r="A335" s="4" t="s">
        <v>3286</v>
      </c>
      <c r="B335" s="4" t="s">
        <v>34</v>
      </c>
      <c r="D335" s="5">
        <v>21.19</v>
      </c>
      <c r="F335" s="4" t="s">
        <v>59</v>
      </c>
      <c r="G335" s="4" t="s">
        <v>3287</v>
      </c>
      <c r="H335" s="6" t="s">
        <v>11</v>
      </c>
    </row>
    <row r="336" spans="1:8" x14ac:dyDescent="0.25">
      <c r="A336" s="4" t="s">
        <v>3288</v>
      </c>
      <c r="B336" s="4" t="s">
        <v>34</v>
      </c>
      <c r="D336" s="5">
        <v>5.3</v>
      </c>
      <c r="E336" s="5">
        <v>4</v>
      </c>
      <c r="F336" s="4" t="s">
        <v>59</v>
      </c>
      <c r="G336" s="4" t="s">
        <v>3290</v>
      </c>
      <c r="H336" s="6" t="s">
        <v>11</v>
      </c>
    </row>
    <row r="337" spans="1:8" x14ac:dyDescent="0.25">
      <c r="A337" s="4" t="s">
        <v>3291</v>
      </c>
      <c r="B337" s="4" t="s">
        <v>34</v>
      </c>
      <c r="D337" s="5">
        <v>43.41</v>
      </c>
      <c r="F337" s="4" t="s">
        <v>35</v>
      </c>
      <c r="G337" s="4" t="s">
        <v>3292</v>
      </c>
      <c r="H337" s="6" t="s">
        <v>11</v>
      </c>
    </row>
    <row r="338" spans="1:8" x14ac:dyDescent="0.25">
      <c r="A338" s="4" t="s">
        <v>3328</v>
      </c>
      <c r="B338" s="4" t="s">
        <v>34</v>
      </c>
      <c r="F338" s="4" t="s">
        <v>35</v>
      </c>
      <c r="G338" s="4" t="s">
        <v>3329</v>
      </c>
      <c r="H338" s="6" t="s">
        <v>11</v>
      </c>
    </row>
    <row r="339" spans="1:8" x14ac:dyDescent="0.25">
      <c r="A339" s="4" t="s">
        <v>3336</v>
      </c>
      <c r="B339" s="4" t="s">
        <v>34</v>
      </c>
      <c r="D339" s="5">
        <v>4.0199999999999996</v>
      </c>
      <c r="E339" s="5">
        <v>43.69</v>
      </c>
      <c r="F339" s="4" t="s">
        <v>35</v>
      </c>
      <c r="G339" s="4" t="s">
        <v>3337</v>
      </c>
      <c r="H339" s="6" t="s">
        <v>11</v>
      </c>
    </row>
    <row r="340" spans="1:8" x14ac:dyDescent="0.25">
      <c r="A340" s="4" t="s">
        <v>3345</v>
      </c>
      <c r="B340" s="4" t="s">
        <v>34</v>
      </c>
      <c r="D340" s="5">
        <v>25.1</v>
      </c>
      <c r="F340" s="4" t="s">
        <v>35</v>
      </c>
      <c r="G340" s="4" t="s">
        <v>3346</v>
      </c>
      <c r="H340" s="6" t="s">
        <v>11</v>
      </c>
    </row>
    <row r="341" spans="1:8" x14ac:dyDescent="0.25">
      <c r="A341" s="4" t="s">
        <v>3347</v>
      </c>
      <c r="B341" s="4" t="s">
        <v>34</v>
      </c>
      <c r="D341" s="5">
        <v>30.89</v>
      </c>
      <c r="E341" s="5">
        <v>10.29</v>
      </c>
      <c r="F341" s="4" t="s">
        <v>35</v>
      </c>
      <c r="G341" s="4" t="s">
        <v>3348</v>
      </c>
      <c r="H341" s="6" t="s">
        <v>11</v>
      </c>
    </row>
    <row r="342" spans="1:8" x14ac:dyDescent="0.25">
      <c r="A342" s="4" t="s">
        <v>3349</v>
      </c>
      <c r="B342" s="4" t="s">
        <v>34</v>
      </c>
      <c r="F342" s="4" t="s">
        <v>35</v>
      </c>
      <c r="G342" s="4" t="s">
        <v>3350</v>
      </c>
      <c r="H342" s="6" t="s">
        <v>11</v>
      </c>
    </row>
    <row r="343" spans="1:8" x14ac:dyDescent="0.25">
      <c r="A343" s="4" t="s">
        <v>3351</v>
      </c>
      <c r="B343" s="4" t="s">
        <v>34</v>
      </c>
      <c r="D343" s="5">
        <v>35</v>
      </c>
      <c r="F343" s="4" t="s">
        <v>35</v>
      </c>
      <c r="G343" s="4" t="s">
        <v>3352</v>
      </c>
      <c r="H343" s="6" t="s">
        <v>11</v>
      </c>
    </row>
    <row r="344" spans="1:8" x14ac:dyDescent="0.25">
      <c r="A344" s="4" t="s">
        <v>3353</v>
      </c>
      <c r="B344" s="4" t="s">
        <v>34</v>
      </c>
      <c r="D344" s="5">
        <v>38.799999999999997</v>
      </c>
      <c r="F344" s="4" t="s">
        <v>35</v>
      </c>
      <c r="G344" s="4" t="s">
        <v>3354</v>
      </c>
      <c r="H344" s="6" t="s">
        <v>11</v>
      </c>
    </row>
    <row r="345" spans="1:8" x14ac:dyDescent="0.25">
      <c r="A345" s="4" t="s">
        <v>3355</v>
      </c>
      <c r="B345" s="4" t="s">
        <v>34</v>
      </c>
      <c r="D345" s="5">
        <v>34.72</v>
      </c>
      <c r="F345" s="4" t="s">
        <v>35</v>
      </c>
      <c r="G345" s="4" t="s">
        <v>3356</v>
      </c>
      <c r="H345" s="6" t="s">
        <v>11</v>
      </c>
    </row>
    <row r="346" spans="1:8" x14ac:dyDescent="0.25">
      <c r="A346" s="4" t="str">
        <f>"LINGUICA TOMATE SECO - ESTOQUE TAP "</f>
        <v xml:space="preserve">LINGUICA TOMATE SECO - ESTOQUE TAP </v>
      </c>
      <c r="B346" s="4" t="s">
        <v>34</v>
      </c>
      <c r="D346" s="5">
        <v>42</v>
      </c>
      <c r="E346" s="5">
        <v>-144.56</v>
      </c>
      <c r="F346" s="4" t="s">
        <v>35</v>
      </c>
      <c r="G346" s="4" t="s">
        <v>3357</v>
      </c>
      <c r="H346" s="6" t="s">
        <v>11</v>
      </c>
    </row>
    <row r="347" spans="1:8" x14ac:dyDescent="0.25">
      <c r="A347" s="4" t="s">
        <v>3358</v>
      </c>
      <c r="B347" s="4" t="s">
        <v>34</v>
      </c>
      <c r="D347" s="5">
        <v>0.4</v>
      </c>
      <c r="F347" s="4" t="s">
        <v>35</v>
      </c>
      <c r="G347" s="4" t="s">
        <v>3359</v>
      </c>
      <c r="H347" s="6" t="s">
        <v>11</v>
      </c>
    </row>
    <row r="348" spans="1:8" x14ac:dyDescent="0.25">
      <c r="A348" s="4" t="s">
        <v>3369</v>
      </c>
      <c r="B348" s="4" t="s">
        <v>34</v>
      </c>
      <c r="D348" s="5">
        <v>36.380000000000003</v>
      </c>
      <c r="F348" s="4" t="s">
        <v>35</v>
      </c>
      <c r="G348" s="4" t="s">
        <v>3370</v>
      </c>
      <c r="H348" s="6" t="s">
        <v>11</v>
      </c>
    </row>
    <row r="349" spans="1:8" x14ac:dyDescent="0.25">
      <c r="A349" s="4" t="s">
        <v>3400</v>
      </c>
      <c r="B349" s="4" t="s">
        <v>34</v>
      </c>
      <c r="F349" s="4" t="s">
        <v>35</v>
      </c>
      <c r="G349" s="4" t="s">
        <v>3401</v>
      </c>
      <c r="H349" s="6" t="s">
        <v>11</v>
      </c>
    </row>
    <row r="350" spans="1:8" x14ac:dyDescent="0.25">
      <c r="A350" s="4" t="s">
        <v>3402</v>
      </c>
      <c r="B350" s="4" t="s">
        <v>34</v>
      </c>
      <c r="F350" s="4" t="s">
        <v>35</v>
      </c>
      <c r="G350" s="4" t="s">
        <v>3403</v>
      </c>
      <c r="H350" s="6" t="s">
        <v>11</v>
      </c>
    </row>
    <row r="351" spans="1:8" x14ac:dyDescent="0.25">
      <c r="A351" s="4" t="s">
        <v>3408</v>
      </c>
      <c r="B351" s="4" t="s">
        <v>34</v>
      </c>
      <c r="D351" s="5">
        <v>8.24</v>
      </c>
      <c r="F351" s="4" t="s">
        <v>9</v>
      </c>
      <c r="G351" s="4" t="s">
        <v>3409</v>
      </c>
      <c r="H351" s="6" t="s">
        <v>11</v>
      </c>
    </row>
    <row r="352" spans="1:8" x14ac:dyDescent="0.25">
      <c r="A352" s="4" t="s">
        <v>3410</v>
      </c>
      <c r="B352" s="4" t="s">
        <v>34</v>
      </c>
      <c r="F352" s="4" t="s">
        <v>9</v>
      </c>
      <c r="G352" s="4" t="s">
        <v>3411</v>
      </c>
      <c r="H352" s="6" t="s">
        <v>11</v>
      </c>
    </row>
    <row r="353" spans="1:8" x14ac:dyDescent="0.25">
      <c r="A353" s="4" t="s">
        <v>3412</v>
      </c>
      <c r="B353" s="4" t="s">
        <v>34</v>
      </c>
      <c r="D353" s="5">
        <v>12.32</v>
      </c>
      <c r="F353" s="4" t="s">
        <v>35</v>
      </c>
      <c r="G353" s="4" t="s">
        <v>3413</v>
      </c>
      <c r="H353" s="6" t="s">
        <v>11</v>
      </c>
    </row>
    <row r="354" spans="1:8" x14ac:dyDescent="0.25">
      <c r="A354" s="4" t="s">
        <v>3417</v>
      </c>
      <c r="B354" s="4" t="s">
        <v>34</v>
      </c>
      <c r="D354" s="5">
        <v>8.49</v>
      </c>
      <c r="F354" s="4" t="s">
        <v>35</v>
      </c>
      <c r="G354" s="4" t="s">
        <v>3418</v>
      </c>
      <c r="H354" s="6" t="s">
        <v>11</v>
      </c>
    </row>
    <row r="355" spans="1:8" x14ac:dyDescent="0.25">
      <c r="A355" s="4" t="s">
        <v>3419</v>
      </c>
      <c r="B355" s="4" t="s">
        <v>34</v>
      </c>
      <c r="D355" s="5">
        <v>21.98</v>
      </c>
      <c r="F355" s="4" t="s">
        <v>35</v>
      </c>
      <c r="G355" s="4" t="s">
        <v>3420</v>
      </c>
      <c r="H355" s="6" t="s">
        <v>11</v>
      </c>
    </row>
    <row r="356" spans="1:8" x14ac:dyDescent="0.25">
      <c r="A356" s="4" t="s">
        <v>3427</v>
      </c>
      <c r="B356" s="4" t="s">
        <v>34</v>
      </c>
      <c r="C356" s="5">
        <v>68.52</v>
      </c>
      <c r="D356" s="5">
        <v>34.26</v>
      </c>
      <c r="F356" s="4" t="s">
        <v>35</v>
      </c>
      <c r="G356" s="4" t="s">
        <v>3428</v>
      </c>
      <c r="H356" s="6" t="s">
        <v>11</v>
      </c>
    </row>
    <row r="357" spans="1:8" x14ac:dyDescent="0.25">
      <c r="A357" s="4" t="s">
        <v>3429</v>
      </c>
      <c r="B357" s="4" t="s">
        <v>34</v>
      </c>
      <c r="D357" s="5">
        <v>35.46</v>
      </c>
      <c r="E357" s="5">
        <v>6.6</v>
      </c>
      <c r="F357" s="4" t="s">
        <v>35</v>
      </c>
      <c r="G357" s="4" t="s">
        <v>3430</v>
      </c>
      <c r="H357" s="6" t="s">
        <v>11</v>
      </c>
    </row>
    <row r="358" spans="1:8" x14ac:dyDescent="0.25">
      <c r="A358" s="4" t="s">
        <v>3431</v>
      </c>
      <c r="B358" s="4" t="s">
        <v>34</v>
      </c>
      <c r="C358" s="5">
        <v>48.34</v>
      </c>
      <c r="D358" s="5">
        <v>24.17</v>
      </c>
      <c r="F358" s="4" t="s">
        <v>9</v>
      </c>
      <c r="G358" s="4" t="s">
        <v>3432</v>
      </c>
      <c r="H358" s="6" t="s">
        <v>11</v>
      </c>
    </row>
    <row r="359" spans="1:8" x14ac:dyDescent="0.25">
      <c r="A359" s="4" t="s">
        <v>3436</v>
      </c>
      <c r="B359" s="4" t="s">
        <v>34</v>
      </c>
      <c r="D359" s="5">
        <v>10.76</v>
      </c>
      <c r="F359" s="4" t="s">
        <v>35</v>
      </c>
      <c r="G359" s="4" t="s">
        <v>3437</v>
      </c>
      <c r="H359" s="6" t="s">
        <v>11</v>
      </c>
    </row>
    <row r="360" spans="1:8" x14ac:dyDescent="0.25">
      <c r="A360" s="4" t="s">
        <v>3438</v>
      </c>
      <c r="B360" s="4" t="s">
        <v>34</v>
      </c>
      <c r="D360" s="5">
        <v>23.2</v>
      </c>
      <c r="F360" s="4" t="s">
        <v>35</v>
      </c>
      <c r="G360" s="4" t="s">
        <v>3439</v>
      </c>
      <c r="H360" s="6" t="s">
        <v>11</v>
      </c>
    </row>
    <row r="361" spans="1:8" x14ac:dyDescent="0.25">
      <c r="A361" s="4" t="s">
        <v>3442</v>
      </c>
      <c r="B361" s="4" t="s">
        <v>34</v>
      </c>
      <c r="D361" s="5">
        <v>31.12</v>
      </c>
      <c r="E361" s="5">
        <v>1.03</v>
      </c>
      <c r="F361" s="4" t="s">
        <v>35</v>
      </c>
      <c r="G361" s="4" t="s">
        <v>3443</v>
      </c>
      <c r="H361" s="6" t="s">
        <v>11</v>
      </c>
    </row>
    <row r="362" spans="1:8" x14ac:dyDescent="0.25">
      <c r="A362" s="4" t="s">
        <v>3444</v>
      </c>
      <c r="B362" s="4" t="s">
        <v>34</v>
      </c>
      <c r="D362" s="5">
        <v>336</v>
      </c>
      <c r="F362" s="4" t="s">
        <v>59</v>
      </c>
      <c r="G362" s="4" t="s">
        <v>3445</v>
      </c>
      <c r="H362" s="6" t="s">
        <v>11</v>
      </c>
    </row>
    <row r="363" spans="1:8" x14ac:dyDescent="0.25">
      <c r="A363" s="4" t="s">
        <v>3462</v>
      </c>
      <c r="B363" s="4" t="s">
        <v>34</v>
      </c>
      <c r="D363" s="5">
        <v>8.36</v>
      </c>
      <c r="E363" s="5">
        <v>32</v>
      </c>
      <c r="F363" s="4" t="s">
        <v>35</v>
      </c>
      <c r="G363" s="4" t="s">
        <v>3463</v>
      </c>
      <c r="H363" s="6" t="s">
        <v>11</v>
      </c>
    </row>
    <row r="364" spans="1:8" x14ac:dyDescent="0.25">
      <c r="A364" s="4" t="s">
        <v>3464</v>
      </c>
      <c r="B364" s="4" t="s">
        <v>34</v>
      </c>
      <c r="D364" s="5">
        <v>26.47</v>
      </c>
      <c r="F364" s="4" t="s">
        <v>35</v>
      </c>
      <c r="G364" s="4" t="s">
        <v>3465</v>
      </c>
      <c r="H364" s="6" t="s">
        <v>11</v>
      </c>
    </row>
    <row r="365" spans="1:8" x14ac:dyDescent="0.25">
      <c r="A365" s="4" t="s">
        <v>3466</v>
      </c>
      <c r="B365" s="4" t="s">
        <v>34</v>
      </c>
      <c r="C365" s="5">
        <v>10</v>
      </c>
      <c r="D365" s="5">
        <v>6.6</v>
      </c>
      <c r="F365" s="4" t="s">
        <v>9</v>
      </c>
      <c r="G365" s="4" t="s">
        <v>3467</v>
      </c>
      <c r="H365" s="6" t="s">
        <v>11</v>
      </c>
    </row>
    <row r="366" spans="1:8" x14ac:dyDescent="0.25">
      <c r="A366" s="4" t="s">
        <v>3468</v>
      </c>
      <c r="B366" s="4" t="s">
        <v>34</v>
      </c>
      <c r="D366" s="5">
        <v>0.47</v>
      </c>
      <c r="F366" s="4" t="s">
        <v>9</v>
      </c>
      <c r="G366" s="4" t="s">
        <v>3469</v>
      </c>
      <c r="H366" s="6" t="s">
        <v>11</v>
      </c>
    </row>
    <row r="367" spans="1:8" x14ac:dyDescent="0.25">
      <c r="A367" s="4" t="s">
        <v>3470</v>
      </c>
      <c r="B367" s="4" t="s">
        <v>34</v>
      </c>
      <c r="C367" s="5">
        <v>10</v>
      </c>
      <c r="D367" s="5">
        <v>9.35</v>
      </c>
      <c r="E367" s="5">
        <v>60</v>
      </c>
      <c r="F367" s="4" t="s">
        <v>9</v>
      </c>
      <c r="G367" s="4" t="s">
        <v>3471</v>
      </c>
      <c r="H367" s="6" t="s">
        <v>11</v>
      </c>
    </row>
    <row r="368" spans="1:8" x14ac:dyDescent="0.25">
      <c r="A368" s="4" t="s">
        <v>3486</v>
      </c>
      <c r="B368" s="4" t="s">
        <v>34</v>
      </c>
      <c r="D368" s="5">
        <v>2.6</v>
      </c>
      <c r="F368" s="4" t="s">
        <v>35</v>
      </c>
      <c r="G368" s="4" t="s">
        <v>3487</v>
      </c>
      <c r="H368" s="6" t="s">
        <v>11</v>
      </c>
    </row>
    <row r="369" spans="1:8" x14ac:dyDescent="0.25">
      <c r="A369" s="4" t="s">
        <v>3495</v>
      </c>
      <c r="B369" s="4" t="s">
        <v>34</v>
      </c>
      <c r="D369" s="5">
        <v>4.67</v>
      </c>
      <c r="F369" s="4" t="s">
        <v>35</v>
      </c>
      <c r="G369" s="4" t="s">
        <v>3496</v>
      </c>
      <c r="H369" s="6" t="s">
        <v>11</v>
      </c>
    </row>
    <row r="370" spans="1:8" x14ac:dyDescent="0.25">
      <c r="A370" s="4" t="s">
        <v>3497</v>
      </c>
      <c r="B370" s="4" t="s">
        <v>34</v>
      </c>
      <c r="D370" s="5">
        <v>18.54</v>
      </c>
      <c r="F370" s="4" t="s">
        <v>35</v>
      </c>
      <c r="G370" s="4" t="s">
        <v>3498</v>
      </c>
      <c r="H370" s="6" t="s">
        <v>11</v>
      </c>
    </row>
    <row r="371" spans="1:8" x14ac:dyDescent="0.25">
      <c r="A371" s="4" t="s">
        <v>3504</v>
      </c>
      <c r="B371" s="4" t="s">
        <v>34</v>
      </c>
      <c r="D371" s="5">
        <v>20.99</v>
      </c>
      <c r="F371" s="4" t="s">
        <v>9</v>
      </c>
      <c r="G371" s="4" t="s">
        <v>3505</v>
      </c>
      <c r="H371" s="6" t="s">
        <v>11</v>
      </c>
    </row>
    <row r="372" spans="1:8" x14ac:dyDescent="0.25">
      <c r="A372" s="4" t="s">
        <v>3506</v>
      </c>
      <c r="B372" s="4" t="s">
        <v>34</v>
      </c>
      <c r="D372" s="5">
        <v>90</v>
      </c>
      <c r="F372" s="4" t="s">
        <v>35</v>
      </c>
      <c r="G372" s="4" t="s">
        <v>3507</v>
      </c>
      <c r="H372" s="6" t="s">
        <v>11</v>
      </c>
    </row>
    <row r="373" spans="1:8" x14ac:dyDescent="0.25">
      <c r="A373" s="4" t="s">
        <v>3508</v>
      </c>
      <c r="B373" s="4" t="s">
        <v>34</v>
      </c>
      <c r="D373" s="5">
        <v>2.16</v>
      </c>
      <c r="F373" s="4" t="s">
        <v>9</v>
      </c>
      <c r="G373" s="4" t="s">
        <v>3509</v>
      </c>
      <c r="H373" s="6" t="s">
        <v>11</v>
      </c>
    </row>
    <row r="374" spans="1:8" x14ac:dyDescent="0.25">
      <c r="A374" s="4" t="s">
        <v>3815</v>
      </c>
      <c r="B374" s="4" t="s">
        <v>34</v>
      </c>
      <c r="D374" s="5">
        <v>9.25</v>
      </c>
      <c r="F374" s="4" t="s">
        <v>59</v>
      </c>
      <c r="G374" s="4" t="s">
        <v>3816</v>
      </c>
      <c r="H374" s="6" t="s">
        <v>11</v>
      </c>
    </row>
    <row r="375" spans="1:8" x14ac:dyDescent="0.25">
      <c r="A375" s="4" t="s">
        <v>3817</v>
      </c>
      <c r="B375" s="4" t="s">
        <v>34</v>
      </c>
      <c r="D375" s="5">
        <v>25.34</v>
      </c>
      <c r="F375" s="4" t="s">
        <v>59</v>
      </c>
      <c r="G375" s="4" t="s">
        <v>3818</v>
      </c>
      <c r="H375" s="6" t="s">
        <v>11</v>
      </c>
    </row>
    <row r="376" spans="1:8" x14ac:dyDescent="0.25">
      <c r="A376" s="4" t="s">
        <v>3819</v>
      </c>
      <c r="B376" s="4" t="s">
        <v>34</v>
      </c>
      <c r="D376" s="5">
        <v>5.62</v>
      </c>
      <c r="F376" s="4" t="s">
        <v>9</v>
      </c>
      <c r="G376" s="4" t="s">
        <v>3820</v>
      </c>
      <c r="H376" s="6" t="s">
        <v>11</v>
      </c>
    </row>
    <row r="377" spans="1:8" x14ac:dyDescent="0.25">
      <c r="A377" s="4" t="s">
        <v>3821</v>
      </c>
      <c r="B377" s="4" t="s">
        <v>34</v>
      </c>
      <c r="C377" s="5">
        <v>78.760000000000005</v>
      </c>
      <c r="D377" s="5">
        <v>39.31</v>
      </c>
      <c r="E377" s="5">
        <v>1.1000000000000001</v>
      </c>
      <c r="F377" s="4" t="s">
        <v>35</v>
      </c>
      <c r="G377" s="4" t="s">
        <v>3822</v>
      </c>
      <c r="H377" s="6" t="s">
        <v>11</v>
      </c>
    </row>
    <row r="378" spans="1:8" x14ac:dyDescent="0.25">
      <c r="A378" s="4" t="s">
        <v>3823</v>
      </c>
      <c r="B378" s="4" t="s">
        <v>34</v>
      </c>
      <c r="D378" s="5">
        <v>20.2</v>
      </c>
      <c r="F378" s="4" t="s">
        <v>35</v>
      </c>
      <c r="G378" s="4" t="s">
        <v>3824</v>
      </c>
      <c r="H378" s="6" t="s">
        <v>11</v>
      </c>
    </row>
    <row r="379" spans="1:8" x14ac:dyDescent="0.25">
      <c r="A379" s="4" t="s">
        <v>3825</v>
      </c>
      <c r="B379" s="4" t="s">
        <v>34</v>
      </c>
      <c r="D379" s="5">
        <v>28.67</v>
      </c>
      <c r="F379" s="4" t="s">
        <v>35</v>
      </c>
      <c r="G379" s="4" t="s">
        <v>3826</v>
      </c>
      <c r="H379" s="6" t="s">
        <v>11</v>
      </c>
    </row>
    <row r="380" spans="1:8" x14ac:dyDescent="0.25">
      <c r="A380" s="4" t="s">
        <v>3827</v>
      </c>
      <c r="B380" s="4" t="s">
        <v>34</v>
      </c>
      <c r="D380" s="5">
        <v>10.17</v>
      </c>
      <c r="F380" s="4" t="s">
        <v>59</v>
      </c>
      <c r="G380" s="4" t="s">
        <v>3828</v>
      </c>
      <c r="H380" s="6" t="s">
        <v>11</v>
      </c>
    </row>
    <row r="381" spans="1:8" x14ac:dyDescent="0.25">
      <c r="A381" s="4" t="s">
        <v>3829</v>
      </c>
      <c r="B381" s="4" t="s">
        <v>34</v>
      </c>
      <c r="D381" s="5">
        <v>8.6999999999999993</v>
      </c>
      <c r="F381" s="4" t="s">
        <v>35</v>
      </c>
      <c r="G381" s="4" t="s">
        <v>3830</v>
      </c>
      <c r="H381" s="6" t="s">
        <v>11</v>
      </c>
    </row>
    <row r="382" spans="1:8" x14ac:dyDescent="0.25">
      <c r="A382" s="4" t="s">
        <v>3833</v>
      </c>
      <c r="B382" s="4" t="s">
        <v>34</v>
      </c>
      <c r="D382" s="5">
        <v>18.41</v>
      </c>
      <c r="F382" s="4" t="s">
        <v>59</v>
      </c>
      <c r="G382" s="4" t="s">
        <v>3834</v>
      </c>
      <c r="H382" s="6" t="s">
        <v>11</v>
      </c>
    </row>
    <row r="383" spans="1:8" x14ac:dyDescent="0.25">
      <c r="A383" s="4" t="s">
        <v>3835</v>
      </c>
      <c r="B383" s="4" t="s">
        <v>34</v>
      </c>
      <c r="D383" s="5">
        <v>13.2</v>
      </c>
      <c r="E383" s="5">
        <v>0.9</v>
      </c>
      <c r="F383" s="4" t="s">
        <v>59</v>
      </c>
      <c r="G383" s="4" t="s">
        <v>3836</v>
      </c>
      <c r="H383" s="6" t="s">
        <v>11</v>
      </c>
    </row>
    <row r="384" spans="1:8" x14ac:dyDescent="0.25">
      <c r="A384" s="4" t="s">
        <v>3841</v>
      </c>
      <c r="B384" s="4" t="s">
        <v>34</v>
      </c>
      <c r="D384" s="5">
        <v>18.559999999999999</v>
      </c>
      <c r="F384" s="4" t="s">
        <v>35</v>
      </c>
      <c r="G384" s="4" t="s">
        <v>3842</v>
      </c>
      <c r="H384" s="6" t="s">
        <v>11</v>
      </c>
    </row>
    <row r="385" spans="1:8" x14ac:dyDescent="0.25">
      <c r="A385" s="4" t="s">
        <v>3848</v>
      </c>
      <c r="B385" s="4" t="s">
        <v>34</v>
      </c>
      <c r="D385" s="5">
        <v>16.25</v>
      </c>
      <c r="F385" s="4" t="s">
        <v>35</v>
      </c>
      <c r="G385" s="4" t="s">
        <v>3849</v>
      </c>
      <c r="H385" s="6" t="s">
        <v>11</v>
      </c>
    </row>
    <row r="386" spans="1:8" x14ac:dyDescent="0.25">
      <c r="A386" s="4" t="s">
        <v>3850</v>
      </c>
      <c r="B386" s="4" t="s">
        <v>34</v>
      </c>
      <c r="D386" s="5">
        <v>191.67</v>
      </c>
      <c r="F386" s="4" t="s">
        <v>35</v>
      </c>
      <c r="G386" s="4" t="s">
        <v>3851</v>
      </c>
      <c r="H386" s="6" t="s">
        <v>11</v>
      </c>
    </row>
    <row r="387" spans="1:8" x14ac:dyDescent="0.25">
      <c r="A387" s="4" t="s">
        <v>3854</v>
      </c>
      <c r="B387" s="4" t="s">
        <v>34</v>
      </c>
      <c r="D387" s="5">
        <v>15.85</v>
      </c>
      <c r="E387" s="5">
        <v>15.2</v>
      </c>
      <c r="F387" s="4" t="s">
        <v>35</v>
      </c>
      <c r="G387" s="4" t="s">
        <v>3855</v>
      </c>
      <c r="H387" s="6" t="s">
        <v>11</v>
      </c>
    </row>
    <row r="388" spans="1:8" x14ac:dyDescent="0.25">
      <c r="A388" s="4" t="s">
        <v>3856</v>
      </c>
      <c r="B388" s="4" t="s">
        <v>34</v>
      </c>
      <c r="C388" s="5">
        <v>59.8</v>
      </c>
      <c r="D388" s="5">
        <v>60</v>
      </c>
      <c r="E388" s="5">
        <v>-20.134</v>
      </c>
      <c r="F388" s="4" t="s">
        <v>35</v>
      </c>
      <c r="G388" s="4" t="s">
        <v>3857</v>
      </c>
      <c r="H388" s="6" t="s">
        <v>11</v>
      </c>
    </row>
    <row r="389" spans="1:8" x14ac:dyDescent="0.25">
      <c r="A389" s="4" t="s">
        <v>3858</v>
      </c>
      <c r="B389" s="4" t="s">
        <v>34</v>
      </c>
      <c r="D389" s="5">
        <v>60.02</v>
      </c>
      <c r="F389" s="4" t="s">
        <v>35</v>
      </c>
      <c r="G389" s="4" t="s">
        <v>3859</v>
      </c>
      <c r="H389" s="6" t="s">
        <v>11</v>
      </c>
    </row>
    <row r="390" spans="1:8" x14ac:dyDescent="0.25">
      <c r="A390" s="4" t="s">
        <v>3860</v>
      </c>
      <c r="B390" s="4" t="s">
        <v>34</v>
      </c>
      <c r="C390" s="5">
        <v>28.08</v>
      </c>
      <c r="D390" s="5">
        <v>14.16</v>
      </c>
      <c r="F390" s="4" t="s">
        <v>35</v>
      </c>
      <c r="G390" s="4" t="s">
        <v>3861</v>
      </c>
      <c r="H390" s="6" t="s">
        <v>11</v>
      </c>
    </row>
    <row r="391" spans="1:8" x14ac:dyDescent="0.25">
      <c r="A391" s="4" t="s">
        <v>3862</v>
      </c>
      <c r="B391" s="4" t="s">
        <v>34</v>
      </c>
      <c r="D391" s="5">
        <v>55</v>
      </c>
      <c r="E391" s="5">
        <v>3</v>
      </c>
      <c r="F391" s="4" t="s">
        <v>35</v>
      </c>
      <c r="G391" s="4" t="s">
        <v>3863</v>
      </c>
      <c r="H391" s="6" t="s">
        <v>11</v>
      </c>
    </row>
    <row r="392" spans="1:8" x14ac:dyDescent="0.25">
      <c r="A392" s="4" t="s">
        <v>3864</v>
      </c>
      <c r="B392" s="4" t="s">
        <v>34</v>
      </c>
      <c r="D392" s="5">
        <v>34.42</v>
      </c>
      <c r="F392" s="4" t="s">
        <v>35</v>
      </c>
      <c r="G392" s="4" t="s">
        <v>3865</v>
      </c>
      <c r="H392" s="6" t="s">
        <v>11</v>
      </c>
    </row>
    <row r="393" spans="1:8" x14ac:dyDescent="0.25">
      <c r="A393" s="4" t="s">
        <v>3866</v>
      </c>
      <c r="B393" s="4" t="s">
        <v>34</v>
      </c>
      <c r="D393" s="5">
        <v>15.63</v>
      </c>
      <c r="F393" s="4" t="s">
        <v>35</v>
      </c>
      <c r="G393" s="4" t="s">
        <v>3867</v>
      </c>
      <c r="H393" s="6" t="s">
        <v>11</v>
      </c>
    </row>
    <row r="394" spans="1:8" x14ac:dyDescent="0.25">
      <c r="A394" s="4" t="s">
        <v>3868</v>
      </c>
      <c r="B394" s="4" t="s">
        <v>34</v>
      </c>
      <c r="F394" s="4" t="s">
        <v>9</v>
      </c>
      <c r="G394" s="4" t="s">
        <v>3869</v>
      </c>
      <c r="H394" s="6" t="s">
        <v>11</v>
      </c>
    </row>
    <row r="395" spans="1:8" x14ac:dyDescent="0.25">
      <c r="A395" s="4" t="s">
        <v>3870</v>
      </c>
      <c r="B395" s="4" t="s">
        <v>34</v>
      </c>
      <c r="F395" s="4" t="s">
        <v>9</v>
      </c>
      <c r="G395" s="4" t="s">
        <v>3871</v>
      </c>
      <c r="H395" s="6" t="s">
        <v>11</v>
      </c>
    </row>
    <row r="396" spans="1:8" x14ac:dyDescent="0.25">
      <c r="A396" s="4" t="s">
        <v>3872</v>
      </c>
      <c r="B396" s="4" t="s">
        <v>34</v>
      </c>
      <c r="D396" s="5">
        <v>3.28</v>
      </c>
      <c r="F396" s="4" t="s">
        <v>35</v>
      </c>
      <c r="G396" s="4" t="s">
        <v>3873</v>
      </c>
      <c r="H396" s="6" t="s">
        <v>11</v>
      </c>
    </row>
    <row r="397" spans="1:8" x14ac:dyDescent="0.25">
      <c r="A397" s="4" t="s">
        <v>3874</v>
      </c>
      <c r="B397" s="4" t="s">
        <v>34</v>
      </c>
      <c r="D397" s="5">
        <v>3.28</v>
      </c>
      <c r="F397" s="4" t="s">
        <v>35</v>
      </c>
      <c r="G397" s="4" t="s">
        <v>3875</v>
      </c>
      <c r="H397" s="6" t="s">
        <v>11</v>
      </c>
    </row>
    <row r="398" spans="1:8" x14ac:dyDescent="0.25">
      <c r="A398" s="4" t="s">
        <v>3876</v>
      </c>
      <c r="B398" s="4" t="s">
        <v>34</v>
      </c>
      <c r="F398" s="4" t="s">
        <v>9</v>
      </c>
      <c r="G398" s="4" t="s">
        <v>3877</v>
      </c>
      <c r="H398" s="6" t="s">
        <v>11</v>
      </c>
    </row>
    <row r="399" spans="1:8" x14ac:dyDescent="0.25">
      <c r="A399" s="4" t="s">
        <v>3878</v>
      </c>
      <c r="B399" s="4" t="s">
        <v>34</v>
      </c>
      <c r="D399" s="5">
        <v>8.84</v>
      </c>
      <c r="F399" s="4" t="s">
        <v>35</v>
      </c>
      <c r="G399" s="4" t="s">
        <v>3879</v>
      </c>
      <c r="H399" s="6" t="s">
        <v>11</v>
      </c>
    </row>
    <row r="400" spans="1:8" x14ac:dyDescent="0.25">
      <c r="A400" s="4" t="s">
        <v>3880</v>
      </c>
      <c r="B400" s="4" t="s">
        <v>34</v>
      </c>
      <c r="F400" s="4" t="s">
        <v>9</v>
      </c>
      <c r="G400" s="4" t="s">
        <v>3881</v>
      </c>
      <c r="H400" s="6" t="s">
        <v>11</v>
      </c>
    </row>
    <row r="401" spans="1:8" x14ac:dyDescent="0.25">
      <c r="A401" s="4" t="s">
        <v>3886</v>
      </c>
      <c r="B401" s="4" t="s">
        <v>34</v>
      </c>
      <c r="F401" s="4" t="s">
        <v>9</v>
      </c>
      <c r="G401" s="4" t="s">
        <v>3887</v>
      </c>
      <c r="H401" s="6" t="s">
        <v>11</v>
      </c>
    </row>
    <row r="402" spans="1:8" x14ac:dyDescent="0.25">
      <c r="A402" s="4" t="s">
        <v>3894</v>
      </c>
      <c r="B402" s="4" t="s">
        <v>34</v>
      </c>
      <c r="F402" s="4" t="s">
        <v>9</v>
      </c>
      <c r="G402" s="4" t="s">
        <v>3895</v>
      </c>
      <c r="H402" s="6" t="s">
        <v>11</v>
      </c>
    </row>
    <row r="403" spans="1:8" x14ac:dyDescent="0.25">
      <c r="A403" s="4" t="s">
        <v>3896</v>
      </c>
      <c r="B403" s="4" t="s">
        <v>34</v>
      </c>
      <c r="F403" s="4" t="s">
        <v>9</v>
      </c>
      <c r="G403" s="4" t="s">
        <v>3897</v>
      </c>
      <c r="H403" s="6" t="s">
        <v>11</v>
      </c>
    </row>
    <row r="404" spans="1:8" x14ac:dyDescent="0.25">
      <c r="A404" s="4" t="s">
        <v>3898</v>
      </c>
      <c r="B404" s="4" t="s">
        <v>34</v>
      </c>
      <c r="F404" s="4" t="s">
        <v>9</v>
      </c>
      <c r="G404" s="4" t="s">
        <v>3899</v>
      </c>
      <c r="H404" s="6" t="s">
        <v>11</v>
      </c>
    </row>
    <row r="405" spans="1:8" x14ac:dyDescent="0.25">
      <c r="A405" s="4" t="s">
        <v>3902</v>
      </c>
      <c r="B405" s="4" t="s">
        <v>34</v>
      </c>
      <c r="D405" s="5">
        <v>27.85</v>
      </c>
      <c r="F405" s="4" t="s">
        <v>35</v>
      </c>
      <c r="G405" s="4" t="s">
        <v>3903</v>
      </c>
      <c r="H405" s="6" t="s">
        <v>11</v>
      </c>
    </row>
    <row r="406" spans="1:8" x14ac:dyDescent="0.25">
      <c r="A406" s="4" t="s">
        <v>3912</v>
      </c>
      <c r="B406" s="4" t="s">
        <v>34</v>
      </c>
      <c r="D406" s="5">
        <v>13.42</v>
      </c>
      <c r="F406" s="4" t="s">
        <v>35</v>
      </c>
      <c r="G406" s="4" t="s">
        <v>3913</v>
      </c>
      <c r="H406" s="6" t="s">
        <v>11</v>
      </c>
    </row>
    <row r="407" spans="1:8" x14ac:dyDescent="0.25">
      <c r="A407" s="4" t="s">
        <v>3914</v>
      </c>
      <c r="B407" s="4" t="s">
        <v>34</v>
      </c>
      <c r="D407" s="5">
        <v>106.22</v>
      </c>
      <c r="F407" s="4" t="s">
        <v>35</v>
      </c>
      <c r="G407" s="4" t="s">
        <v>3915</v>
      </c>
      <c r="H407" s="6" t="s">
        <v>11</v>
      </c>
    </row>
    <row r="408" spans="1:8" x14ac:dyDescent="0.25">
      <c r="A408" s="4" t="s">
        <v>3918</v>
      </c>
      <c r="B408" s="4" t="s">
        <v>34</v>
      </c>
      <c r="F408" s="4" t="s">
        <v>9</v>
      </c>
      <c r="G408" s="4" t="s">
        <v>3919</v>
      </c>
      <c r="H408" s="6" t="s">
        <v>11</v>
      </c>
    </row>
    <row r="409" spans="1:8" x14ac:dyDescent="0.25">
      <c r="A409" s="4" t="s">
        <v>3920</v>
      </c>
      <c r="B409" s="4" t="s">
        <v>34</v>
      </c>
      <c r="F409" s="4" t="s">
        <v>35</v>
      </c>
      <c r="G409" s="4" t="s">
        <v>3921</v>
      </c>
      <c r="H409" s="6" t="s">
        <v>11</v>
      </c>
    </row>
    <row r="410" spans="1:8" x14ac:dyDescent="0.25">
      <c r="A410" s="4" t="s">
        <v>3937</v>
      </c>
      <c r="B410" s="4" t="s">
        <v>34</v>
      </c>
      <c r="C410" s="5">
        <v>3.5</v>
      </c>
      <c r="D410" s="5">
        <v>9.89</v>
      </c>
      <c r="F410" s="4" t="s">
        <v>59</v>
      </c>
      <c r="G410" s="4" t="s">
        <v>3938</v>
      </c>
      <c r="H410" s="6" t="s">
        <v>11</v>
      </c>
    </row>
    <row r="411" spans="1:8" x14ac:dyDescent="0.25">
      <c r="A411" s="4" t="s">
        <v>3939</v>
      </c>
      <c r="B411" s="4" t="s">
        <v>34</v>
      </c>
      <c r="C411" s="5">
        <v>16.940000000000001</v>
      </c>
      <c r="D411" s="5">
        <v>8.77</v>
      </c>
      <c r="E411" s="5">
        <v>31.6</v>
      </c>
      <c r="F411" s="4" t="s">
        <v>59</v>
      </c>
      <c r="G411" s="4" t="s">
        <v>3940</v>
      </c>
      <c r="H411" s="6" t="s">
        <v>11</v>
      </c>
    </row>
    <row r="412" spans="1:8" x14ac:dyDescent="0.25">
      <c r="A412" s="4" t="s">
        <v>3946</v>
      </c>
      <c r="B412" s="4" t="s">
        <v>34</v>
      </c>
      <c r="D412" s="5">
        <v>19.63</v>
      </c>
      <c r="F412" s="4" t="s">
        <v>59</v>
      </c>
      <c r="G412" s="4" t="s">
        <v>3947</v>
      </c>
      <c r="H412" s="6" t="s">
        <v>11</v>
      </c>
    </row>
    <row r="413" spans="1:8" x14ac:dyDescent="0.25">
      <c r="A413" s="4" t="str">
        <f>"ORA PRO NOBIS - ESTOQUE TAP "</f>
        <v xml:space="preserve">ORA PRO NOBIS - ESTOQUE TAP </v>
      </c>
      <c r="B413" s="4" t="s">
        <v>34</v>
      </c>
      <c r="D413" s="5">
        <v>6.47</v>
      </c>
      <c r="F413" s="4" t="s">
        <v>9</v>
      </c>
      <c r="G413" s="4" t="s">
        <v>3954</v>
      </c>
      <c r="H413" s="6" t="s">
        <v>11</v>
      </c>
    </row>
    <row r="414" spans="1:8" x14ac:dyDescent="0.25">
      <c r="A414" s="4" t="s">
        <v>3955</v>
      </c>
      <c r="B414" s="4" t="s">
        <v>34</v>
      </c>
      <c r="D414" s="5">
        <v>38.39</v>
      </c>
      <c r="E414" s="5">
        <v>0.40400000000000003</v>
      </c>
      <c r="F414" s="4" t="s">
        <v>35</v>
      </c>
      <c r="G414" s="4" t="s">
        <v>3956</v>
      </c>
      <c r="H414" s="6" t="s">
        <v>11</v>
      </c>
    </row>
    <row r="415" spans="1:8" x14ac:dyDescent="0.25">
      <c r="A415" s="4" t="s">
        <v>3960</v>
      </c>
      <c r="B415" s="4" t="s">
        <v>34</v>
      </c>
      <c r="D415" s="5">
        <v>0.8</v>
      </c>
      <c r="E415" s="5">
        <v>30</v>
      </c>
      <c r="F415" s="4" t="s">
        <v>9</v>
      </c>
      <c r="G415" s="4" t="s">
        <v>3961</v>
      </c>
      <c r="H415" s="6" t="s">
        <v>11</v>
      </c>
    </row>
    <row r="416" spans="1:8" x14ac:dyDescent="0.25">
      <c r="A416" s="4" t="str">
        <f>"OVOS FRITOS "</f>
        <v xml:space="preserve">OVOS FRITOS </v>
      </c>
      <c r="B416" s="4" t="s">
        <v>34</v>
      </c>
      <c r="D416" s="5">
        <v>1.6</v>
      </c>
      <c r="F416" s="4" t="s">
        <v>9</v>
      </c>
      <c r="G416" s="4" t="s">
        <v>3964</v>
      </c>
      <c r="H416" s="6" t="s">
        <v>11</v>
      </c>
    </row>
    <row r="417" spans="1:8" x14ac:dyDescent="0.25">
      <c r="A417" s="4" t="s">
        <v>3967</v>
      </c>
      <c r="B417" s="4" t="s">
        <v>34</v>
      </c>
      <c r="F417" s="4" t="s">
        <v>9</v>
      </c>
      <c r="G417" s="4" t="s">
        <v>3968</v>
      </c>
      <c r="H417" s="6" t="s">
        <v>11</v>
      </c>
    </row>
    <row r="418" spans="1:8" x14ac:dyDescent="0.25">
      <c r="A418" s="4" t="s">
        <v>3975</v>
      </c>
      <c r="B418" s="4" t="s">
        <v>34</v>
      </c>
      <c r="D418" s="5">
        <v>28.16</v>
      </c>
      <c r="F418" s="4" t="s">
        <v>35</v>
      </c>
      <c r="G418" s="4" t="s">
        <v>3976</v>
      </c>
      <c r="H418" s="6" t="s">
        <v>11</v>
      </c>
    </row>
    <row r="419" spans="1:8" x14ac:dyDescent="0.25">
      <c r="A419" s="4" t="s">
        <v>3986</v>
      </c>
      <c r="B419" s="4" t="s">
        <v>34</v>
      </c>
      <c r="D419" s="5">
        <v>2.4900000000000002</v>
      </c>
      <c r="F419" s="4" t="s">
        <v>35</v>
      </c>
      <c r="G419" s="4" t="s">
        <v>3987</v>
      </c>
      <c r="H419" s="6" t="s">
        <v>11</v>
      </c>
    </row>
    <row r="420" spans="1:8" x14ac:dyDescent="0.25">
      <c r="A420" s="4" t="s">
        <v>3996</v>
      </c>
      <c r="B420" s="4" t="s">
        <v>34</v>
      </c>
      <c r="F420" s="4" t="s">
        <v>9</v>
      </c>
      <c r="G420" s="4" t="s">
        <v>3997</v>
      </c>
      <c r="H420" s="6" t="s">
        <v>11</v>
      </c>
    </row>
    <row r="421" spans="1:8" x14ac:dyDescent="0.25">
      <c r="A421" s="4" t="s">
        <v>3998</v>
      </c>
      <c r="B421" s="4" t="s">
        <v>34</v>
      </c>
      <c r="D421" s="5">
        <v>1.89</v>
      </c>
      <c r="F421" s="4" t="s">
        <v>9</v>
      </c>
      <c r="G421" s="4" t="s">
        <v>3999</v>
      </c>
      <c r="H421" s="6" t="s">
        <v>11</v>
      </c>
    </row>
    <row r="422" spans="1:8" x14ac:dyDescent="0.25">
      <c r="A422" s="4" t="s">
        <v>4000</v>
      </c>
      <c r="B422" s="4" t="s">
        <v>34</v>
      </c>
      <c r="D422" s="5">
        <v>1.81</v>
      </c>
      <c r="E422" s="5">
        <v>672</v>
      </c>
      <c r="F422" s="4" t="s">
        <v>9</v>
      </c>
      <c r="G422" s="4" t="s">
        <v>4001</v>
      </c>
      <c r="H422" s="6" t="s">
        <v>11</v>
      </c>
    </row>
    <row r="423" spans="1:8" x14ac:dyDescent="0.25">
      <c r="A423" s="4" t="s">
        <v>4002</v>
      </c>
      <c r="B423" s="4" t="s">
        <v>34</v>
      </c>
      <c r="D423" s="5">
        <v>19.02</v>
      </c>
      <c r="F423" s="4" t="s">
        <v>35</v>
      </c>
      <c r="G423" s="4" t="s">
        <v>4003</v>
      </c>
      <c r="H423" s="6" t="s">
        <v>11</v>
      </c>
    </row>
    <row r="424" spans="1:8" x14ac:dyDescent="0.25">
      <c r="A424" s="4" t="s">
        <v>4004</v>
      </c>
      <c r="B424" s="4" t="s">
        <v>34</v>
      </c>
      <c r="D424" s="5">
        <v>1.26</v>
      </c>
      <c r="F424" s="4" t="s">
        <v>9</v>
      </c>
      <c r="G424" s="4" t="s">
        <v>4005</v>
      </c>
      <c r="H424" s="6" t="s">
        <v>11</v>
      </c>
    </row>
    <row r="425" spans="1:8" x14ac:dyDescent="0.25">
      <c r="A425" s="4" t="str">
        <f>"PAO CROCANTE - ESTOQUE TAP "</f>
        <v xml:space="preserve">PAO CROCANTE - ESTOQUE TAP </v>
      </c>
      <c r="B425" s="4" t="s">
        <v>34</v>
      </c>
      <c r="C425" s="5">
        <v>1.28</v>
      </c>
      <c r="D425" s="5">
        <v>0.64</v>
      </c>
      <c r="F425" s="4" t="s">
        <v>9</v>
      </c>
      <c r="G425" s="4" t="s">
        <v>4009</v>
      </c>
      <c r="H425" s="6" t="s">
        <v>11</v>
      </c>
    </row>
    <row r="426" spans="1:8" x14ac:dyDescent="0.25">
      <c r="A426" s="4" t="s">
        <v>4010</v>
      </c>
      <c r="B426" s="4" t="s">
        <v>34</v>
      </c>
      <c r="D426" s="5">
        <v>10.029999999999999</v>
      </c>
      <c r="F426" s="4" t="s">
        <v>35</v>
      </c>
      <c r="G426" s="4" t="s">
        <v>4011</v>
      </c>
      <c r="H426" s="6" t="s">
        <v>11</v>
      </c>
    </row>
    <row r="427" spans="1:8" x14ac:dyDescent="0.25">
      <c r="A427" s="4" t="s">
        <v>4012</v>
      </c>
      <c r="B427" s="4" t="s">
        <v>34</v>
      </c>
      <c r="D427" s="5">
        <v>1.19</v>
      </c>
      <c r="F427" s="4" t="s">
        <v>9</v>
      </c>
      <c r="G427" s="4" t="s">
        <v>4013</v>
      </c>
      <c r="H427" s="6" t="s">
        <v>11</v>
      </c>
    </row>
    <row r="428" spans="1:8" x14ac:dyDescent="0.25">
      <c r="A428" s="4" t="s">
        <v>4014</v>
      </c>
      <c r="B428" s="4" t="s">
        <v>34</v>
      </c>
      <c r="F428" s="4" t="s">
        <v>9</v>
      </c>
      <c r="G428" s="4" t="s">
        <v>4015</v>
      </c>
      <c r="H428" s="6" t="s">
        <v>11</v>
      </c>
    </row>
    <row r="429" spans="1:8" x14ac:dyDescent="0.25">
      <c r="A429" s="4" t="s">
        <v>4016</v>
      </c>
      <c r="B429" s="4" t="s">
        <v>34</v>
      </c>
      <c r="D429" s="5">
        <v>0.87</v>
      </c>
      <c r="F429" s="4" t="s">
        <v>9</v>
      </c>
      <c r="G429" s="4" t="s">
        <v>4017</v>
      </c>
      <c r="H429" s="6" t="s">
        <v>11</v>
      </c>
    </row>
    <row r="430" spans="1:8" x14ac:dyDescent="0.25">
      <c r="A430" s="4" t="s">
        <v>4018</v>
      </c>
      <c r="B430" s="4" t="s">
        <v>34</v>
      </c>
      <c r="D430" s="5">
        <v>1.86</v>
      </c>
      <c r="E430" s="5">
        <v>740</v>
      </c>
      <c r="F430" s="4" t="s">
        <v>9</v>
      </c>
      <c r="G430" s="4" t="s">
        <v>4019</v>
      </c>
      <c r="H430" s="6" t="s">
        <v>11</v>
      </c>
    </row>
    <row r="431" spans="1:8" x14ac:dyDescent="0.25">
      <c r="A431" s="4" t="str">
        <f>"PAO HAMBURGUER CROCANTE 3 CORTES - ESTOQUE TAP "</f>
        <v xml:space="preserve">PAO HAMBURGUER CROCANTE 3 CORTES - ESTOQUE TAP </v>
      </c>
      <c r="B431" s="4" t="s">
        <v>34</v>
      </c>
      <c r="D431" s="5">
        <v>1.74</v>
      </c>
      <c r="F431" s="4" t="s">
        <v>9</v>
      </c>
      <c r="G431" s="4" t="s">
        <v>4020</v>
      </c>
      <c r="H431" s="6" t="s">
        <v>11</v>
      </c>
    </row>
    <row r="432" spans="1:8" x14ac:dyDescent="0.25">
      <c r="A432" s="4" t="s">
        <v>4021</v>
      </c>
      <c r="B432" s="4" t="s">
        <v>34</v>
      </c>
      <c r="F432" s="4" t="s">
        <v>9</v>
      </c>
      <c r="G432" s="4" t="s">
        <v>4022</v>
      </c>
      <c r="H432" s="6" t="s">
        <v>11</v>
      </c>
    </row>
    <row r="433" spans="1:8" x14ac:dyDescent="0.25">
      <c r="A433" s="4" t="s">
        <v>4023</v>
      </c>
      <c r="B433" s="4" t="s">
        <v>34</v>
      </c>
      <c r="D433" s="5">
        <v>1.7</v>
      </c>
      <c r="F433" s="4" t="s">
        <v>9</v>
      </c>
      <c r="G433" s="4" t="s">
        <v>4024</v>
      </c>
      <c r="H433" s="6" t="s">
        <v>11</v>
      </c>
    </row>
    <row r="434" spans="1:8" x14ac:dyDescent="0.25">
      <c r="A434" s="4" t="s">
        <v>4034</v>
      </c>
      <c r="B434" s="4" t="s">
        <v>34</v>
      </c>
      <c r="D434" s="5">
        <v>49.34</v>
      </c>
      <c r="F434" s="4" t="s">
        <v>35</v>
      </c>
      <c r="G434" s="4" t="s">
        <v>4035</v>
      </c>
      <c r="H434" s="6" t="s">
        <v>11</v>
      </c>
    </row>
    <row r="435" spans="1:8" x14ac:dyDescent="0.25">
      <c r="A435" s="4" t="s">
        <v>4052</v>
      </c>
      <c r="B435" s="4" t="s">
        <v>34</v>
      </c>
      <c r="D435" s="5">
        <v>1.29</v>
      </c>
      <c r="F435" s="4" t="s">
        <v>9</v>
      </c>
      <c r="G435" s="4" t="s">
        <v>4053</v>
      </c>
      <c r="H435" s="6" t="s">
        <v>11</v>
      </c>
    </row>
    <row r="436" spans="1:8" x14ac:dyDescent="0.25">
      <c r="A436" s="4" t="s">
        <v>4054</v>
      </c>
      <c r="B436" s="4" t="s">
        <v>34</v>
      </c>
      <c r="D436" s="5">
        <v>0.28999999999999998</v>
      </c>
      <c r="F436" s="4" t="s">
        <v>9</v>
      </c>
      <c r="G436" s="4" t="s">
        <v>4055</v>
      </c>
      <c r="H436" s="6" t="s">
        <v>11</v>
      </c>
    </row>
    <row r="437" spans="1:8" x14ac:dyDescent="0.25">
      <c r="A437" s="4" t="s">
        <v>4056</v>
      </c>
      <c r="B437" s="4" t="s">
        <v>34</v>
      </c>
      <c r="D437" s="5">
        <v>1.07</v>
      </c>
      <c r="F437" s="4" t="s">
        <v>9</v>
      </c>
      <c r="G437" s="4" t="s">
        <v>4057</v>
      </c>
      <c r="H437" s="6" t="s">
        <v>11</v>
      </c>
    </row>
    <row r="438" spans="1:8" x14ac:dyDescent="0.25">
      <c r="A438" s="4" t="s">
        <v>4060</v>
      </c>
      <c r="B438" s="4" t="s">
        <v>34</v>
      </c>
      <c r="D438" s="5">
        <v>59</v>
      </c>
      <c r="F438" s="4" t="s">
        <v>35</v>
      </c>
      <c r="G438" s="4" t="s">
        <v>4061</v>
      </c>
      <c r="H438" s="6" t="s">
        <v>11</v>
      </c>
    </row>
    <row r="439" spans="1:8" x14ac:dyDescent="0.25">
      <c r="A439" s="4" t="str">
        <f>"PATINHO CUBOS - ESTOQUE TAP "</f>
        <v xml:space="preserve">PATINHO CUBOS - ESTOQUE TAP </v>
      </c>
      <c r="B439" s="4" t="s">
        <v>34</v>
      </c>
      <c r="D439" s="5">
        <v>40.98</v>
      </c>
      <c r="F439" s="4" t="s">
        <v>35</v>
      </c>
      <c r="G439" s="4" t="s">
        <v>4062</v>
      </c>
      <c r="H439" s="6" t="s">
        <v>11</v>
      </c>
    </row>
    <row r="440" spans="1:8" x14ac:dyDescent="0.25">
      <c r="A440" s="4" t="str">
        <f>"PATINHO MOIDO - ESTOQUE TAP "</f>
        <v xml:space="preserve">PATINHO MOIDO - ESTOQUE TAP </v>
      </c>
      <c r="B440" s="4" t="s">
        <v>34</v>
      </c>
      <c r="D440" s="5">
        <v>41.27</v>
      </c>
      <c r="F440" s="4" t="s">
        <v>35</v>
      </c>
      <c r="G440" s="4" t="s">
        <v>4063</v>
      </c>
      <c r="H440" s="6" t="s">
        <v>11</v>
      </c>
    </row>
    <row r="441" spans="1:8" x14ac:dyDescent="0.25">
      <c r="A441" s="4" t="s">
        <v>4073</v>
      </c>
      <c r="B441" s="4" t="s">
        <v>34</v>
      </c>
      <c r="D441" s="5">
        <v>25.17</v>
      </c>
      <c r="F441" s="4" t="s">
        <v>35</v>
      </c>
      <c r="G441" s="4" t="s">
        <v>4074</v>
      </c>
      <c r="H441" s="6" t="s">
        <v>11</v>
      </c>
    </row>
    <row r="442" spans="1:8" x14ac:dyDescent="0.25">
      <c r="A442" s="4" t="s">
        <v>4077</v>
      </c>
      <c r="B442" s="4" t="s">
        <v>34</v>
      </c>
      <c r="F442" s="4" t="s">
        <v>35</v>
      </c>
      <c r="G442" s="4" t="s">
        <v>4078</v>
      </c>
      <c r="H442" s="6" t="s">
        <v>11</v>
      </c>
    </row>
    <row r="443" spans="1:8" x14ac:dyDescent="0.25">
      <c r="A443" s="4" t="s">
        <v>4079</v>
      </c>
      <c r="B443" s="4" t="s">
        <v>34</v>
      </c>
      <c r="D443" s="5">
        <v>50.58</v>
      </c>
      <c r="F443" s="4" t="s">
        <v>35</v>
      </c>
      <c r="G443" s="4" t="s">
        <v>4080</v>
      </c>
      <c r="H443" s="6" t="s">
        <v>11</v>
      </c>
    </row>
    <row r="444" spans="1:8" x14ac:dyDescent="0.25">
      <c r="A444" s="4" t="s">
        <v>4081</v>
      </c>
      <c r="B444" s="4" t="s">
        <v>34</v>
      </c>
      <c r="D444" s="5">
        <v>24.8</v>
      </c>
      <c r="E444" s="5">
        <v>75</v>
      </c>
      <c r="F444" s="4" t="s">
        <v>35</v>
      </c>
      <c r="G444" s="4" t="s">
        <v>4082</v>
      </c>
      <c r="H444" s="6" t="s">
        <v>11</v>
      </c>
    </row>
    <row r="445" spans="1:8" x14ac:dyDescent="0.25">
      <c r="A445" s="4" t="s">
        <v>4084</v>
      </c>
      <c r="B445" s="4" t="s">
        <v>34</v>
      </c>
      <c r="D445" s="5">
        <v>24.27</v>
      </c>
      <c r="F445" s="4" t="s">
        <v>35</v>
      </c>
      <c r="G445" s="4" t="s">
        <v>4085</v>
      </c>
      <c r="H445" s="6" t="s">
        <v>11</v>
      </c>
    </row>
    <row r="446" spans="1:8" x14ac:dyDescent="0.25">
      <c r="A446" s="4" t="s">
        <v>4086</v>
      </c>
      <c r="B446" s="4" t="s">
        <v>34</v>
      </c>
      <c r="D446" s="5">
        <v>9.93</v>
      </c>
      <c r="F446" s="4" t="s">
        <v>35</v>
      </c>
      <c r="G446" s="4" t="s">
        <v>4087</v>
      </c>
      <c r="H446" s="6" t="s">
        <v>11</v>
      </c>
    </row>
    <row r="447" spans="1:8" x14ac:dyDescent="0.25">
      <c r="A447" s="4" t="s">
        <v>4088</v>
      </c>
      <c r="B447" s="4" t="s">
        <v>34</v>
      </c>
      <c r="D447" s="5">
        <v>1.48</v>
      </c>
      <c r="F447" s="4" t="s">
        <v>35</v>
      </c>
      <c r="G447" s="4" t="s">
        <v>4089</v>
      </c>
      <c r="H447" s="6" t="s">
        <v>11</v>
      </c>
    </row>
    <row r="448" spans="1:8" x14ac:dyDescent="0.25">
      <c r="A448" s="4" t="s">
        <v>4090</v>
      </c>
      <c r="B448" s="4" t="s">
        <v>34</v>
      </c>
      <c r="F448" s="4" t="s">
        <v>35</v>
      </c>
      <c r="G448" s="4" t="s">
        <v>4091</v>
      </c>
      <c r="H448" s="6" t="s">
        <v>11</v>
      </c>
    </row>
    <row r="449" spans="1:8" x14ac:dyDescent="0.25">
      <c r="A449" s="4" t="s">
        <v>4092</v>
      </c>
      <c r="B449" s="4" t="s">
        <v>34</v>
      </c>
      <c r="D449" s="5">
        <v>40</v>
      </c>
      <c r="F449" s="4" t="s">
        <v>35</v>
      </c>
      <c r="G449" s="4" t="s">
        <v>4093</v>
      </c>
      <c r="H449" s="6" t="s">
        <v>11</v>
      </c>
    </row>
    <row r="450" spans="1:8" x14ac:dyDescent="0.25">
      <c r="A450" s="4" t="s">
        <v>4098</v>
      </c>
      <c r="B450" s="4" t="s">
        <v>34</v>
      </c>
      <c r="D450" s="5">
        <v>18</v>
      </c>
      <c r="E450" s="5">
        <v>0.3</v>
      </c>
      <c r="F450" s="4" t="s">
        <v>35</v>
      </c>
      <c r="G450" s="4" t="s">
        <v>4099</v>
      </c>
      <c r="H450" s="6" t="s">
        <v>11</v>
      </c>
    </row>
    <row r="451" spans="1:8" x14ac:dyDescent="0.25">
      <c r="A451" s="4" t="s">
        <v>4100</v>
      </c>
      <c r="B451" s="4" t="s">
        <v>34</v>
      </c>
      <c r="D451" s="5">
        <v>64.36</v>
      </c>
      <c r="F451" s="4" t="s">
        <v>35</v>
      </c>
      <c r="G451" s="4" t="s">
        <v>4101</v>
      </c>
      <c r="H451" s="6" t="s">
        <v>11</v>
      </c>
    </row>
    <row r="452" spans="1:8" x14ac:dyDescent="0.25">
      <c r="A452" s="4" t="s">
        <v>4102</v>
      </c>
      <c r="B452" s="4" t="s">
        <v>34</v>
      </c>
      <c r="F452" s="4" t="s">
        <v>35</v>
      </c>
      <c r="G452" s="4" t="s">
        <v>4103</v>
      </c>
      <c r="H452" s="6" t="s">
        <v>11</v>
      </c>
    </row>
    <row r="453" spans="1:8" x14ac:dyDescent="0.25">
      <c r="A453" s="4" t="s">
        <v>4104</v>
      </c>
      <c r="B453" s="4" t="s">
        <v>34</v>
      </c>
      <c r="D453" s="5">
        <v>75</v>
      </c>
      <c r="F453" s="4" t="s">
        <v>35</v>
      </c>
      <c r="G453" s="4" t="s">
        <v>4105</v>
      </c>
      <c r="H453" s="6" t="s">
        <v>11</v>
      </c>
    </row>
    <row r="454" spans="1:8" x14ac:dyDescent="0.25">
      <c r="A454" s="4" t="str">
        <f>"PIMENTA JAMAICA - ESTOQUE TAP "</f>
        <v xml:space="preserve">PIMENTA JAMAICA - ESTOQUE TAP </v>
      </c>
      <c r="B454" s="4" t="s">
        <v>34</v>
      </c>
      <c r="D454" s="5">
        <v>115</v>
      </c>
      <c r="F454" s="4" t="s">
        <v>35</v>
      </c>
      <c r="G454" s="4" t="s">
        <v>4106</v>
      </c>
      <c r="H454" s="6" t="s">
        <v>11</v>
      </c>
    </row>
    <row r="455" spans="1:8" x14ac:dyDescent="0.25">
      <c r="A455" s="4" t="s">
        <v>4107</v>
      </c>
      <c r="B455" s="4" t="s">
        <v>34</v>
      </c>
      <c r="D455" s="5">
        <v>17.64</v>
      </c>
      <c r="F455" s="4" t="s">
        <v>35</v>
      </c>
      <c r="G455" s="4" t="s">
        <v>4108</v>
      </c>
      <c r="H455" s="6" t="s">
        <v>11</v>
      </c>
    </row>
    <row r="456" spans="1:8" x14ac:dyDescent="0.25">
      <c r="A456" s="4" t="s">
        <v>4109</v>
      </c>
      <c r="B456" s="4" t="s">
        <v>34</v>
      </c>
      <c r="D456" s="5">
        <v>8.0500000000000007</v>
      </c>
      <c r="F456" s="4" t="s">
        <v>35</v>
      </c>
      <c r="G456" s="4" t="s">
        <v>4110</v>
      </c>
      <c r="H456" s="6" t="s">
        <v>11</v>
      </c>
    </row>
    <row r="457" spans="1:8" x14ac:dyDescent="0.25">
      <c r="A457" s="4" t="s">
        <v>4111</v>
      </c>
      <c r="B457" s="4" t="s">
        <v>34</v>
      </c>
      <c r="D457" s="5">
        <v>16.98</v>
      </c>
      <c r="F457" s="4" t="s">
        <v>35</v>
      </c>
      <c r="G457" s="4" t="s">
        <v>4112</v>
      </c>
      <c r="H457" s="6" t="s">
        <v>11</v>
      </c>
    </row>
    <row r="458" spans="1:8" x14ac:dyDescent="0.25">
      <c r="A458" s="4" t="str">
        <f>"PINHAO - ESTOQUE TAP "</f>
        <v xml:space="preserve">PINHAO - ESTOQUE TAP </v>
      </c>
      <c r="B458" s="4" t="s">
        <v>34</v>
      </c>
      <c r="D458" s="5">
        <v>12.9</v>
      </c>
      <c r="F458" s="4" t="s">
        <v>35</v>
      </c>
      <c r="G458" s="4" t="s">
        <v>4113</v>
      </c>
      <c r="H458" s="6" t="s">
        <v>11</v>
      </c>
    </row>
    <row r="459" spans="1:8" x14ac:dyDescent="0.25">
      <c r="A459" s="4" t="s">
        <v>4133</v>
      </c>
      <c r="B459" s="4" t="s">
        <v>34</v>
      </c>
      <c r="D459" s="5">
        <v>8.98</v>
      </c>
      <c r="F459" s="4" t="s">
        <v>35</v>
      </c>
      <c r="G459" s="4" t="s">
        <v>4134</v>
      </c>
      <c r="H459" s="6" t="s">
        <v>11</v>
      </c>
    </row>
    <row r="460" spans="1:8" x14ac:dyDescent="0.25">
      <c r="A460" s="4" t="s">
        <v>4143</v>
      </c>
      <c r="B460" s="4" t="s">
        <v>34</v>
      </c>
      <c r="D460" s="5">
        <v>74.25</v>
      </c>
      <c r="F460" s="4" t="s">
        <v>35</v>
      </c>
      <c r="G460" s="4" t="s">
        <v>4144</v>
      </c>
      <c r="H460" s="6" t="s">
        <v>11</v>
      </c>
    </row>
    <row r="461" spans="1:8" x14ac:dyDescent="0.25">
      <c r="A461" s="4" t="s">
        <v>4160</v>
      </c>
      <c r="B461" s="4" t="s">
        <v>34</v>
      </c>
      <c r="D461" s="5">
        <v>82.94</v>
      </c>
      <c r="F461" s="4" t="s">
        <v>59</v>
      </c>
      <c r="G461" s="4" t="s">
        <v>4161</v>
      </c>
      <c r="H461" s="6" t="s">
        <v>11</v>
      </c>
    </row>
    <row r="462" spans="1:8" x14ac:dyDescent="0.25">
      <c r="A462" s="4" t="s">
        <v>4169</v>
      </c>
      <c r="B462" s="4" t="s">
        <v>34</v>
      </c>
      <c r="D462" s="5">
        <v>10.38</v>
      </c>
      <c r="F462" s="4" t="s">
        <v>9</v>
      </c>
      <c r="G462" s="4" t="s">
        <v>4170</v>
      </c>
      <c r="H462" s="6" t="s">
        <v>11</v>
      </c>
    </row>
    <row r="463" spans="1:8" x14ac:dyDescent="0.25">
      <c r="A463" s="4" t="s">
        <v>4171</v>
      </c>
      <c r="B463" s="4" t="s">
        <v>34</v>
      </c>
      <c r="D463" s="5">
        <v>19.239999999999998</v>
      </c>
      <c r="F463" s="4" t="s">
        <v>35</v>
      </c>
      <c r="G463" s="4" t="s">
        <v>4172</v>
      </c>
      <c r="H463" s="6" t="s">
        <v>11</v>
      </c>
    </row>
    <row r="464" spans="1:8" x14ac:dyDescent="0.25">
      <c r="A464" s="4" t="str">
        <f>"PURE DE ABACAXI - ESTOQUE TAP "</f>
        <v xml:space="preserve">PURE DE ABACAXI - ESTOQUE TAP </v>
      </c>
      <c r="B464" s="4" t="s">
        <v>34</v>
      </c>
      <c r="D464" s="5">
        <v>21.48</v>
      </c>
      <c r="F464" s="4" t="s">
        <v>59</v>
      </c>
      <c r="G464" s="4" t="s">
        <v>4184</v>
      </c>
      <c r="H464" s="6" t="s">
        <v>11</v>
      </c>
    </row>
    <row r="465" spans="1:8" x14ac:dyDescent="0.25">
      <c r="A465" s="4" t="s">
        <v>4185</v>
      </c>
      <c r="B465" s="4" t="s">
        <v>34</v>
      </c>
      <c r="D465" s="5">
        <v>6.1</v>
      </c>
      <c r="F465" s="4" t="s">
        <v>35</v>
      </c>
      <c r="G465" s="4" t="s">
        <v>4186</v>
      </c>
      <c r="H465" s="6" t="s">
        <v>11</v>
      </c>
    </row>
    <row r="466" spans="1:8" x14ac:dyDescent="0.25">
      <c r="A466" s="4" t="s">
        <v>4187</v>
      </c>
      <c r="B466" s="4" t="s">
        <v>34</v>
      </c>
      <c r="D466" s="5">
        <v>18.170000000000002</v>
      </c>
      <c r="F466" s="4" t="s">
        <v>66</v>
      </c>
      <c r="G466" s="4" t="s">
        <v>4188</v>
      </c>
      <c r="H466" s="6" t="s">
        <v>11</v>
      </c>
    </row>
    <row r="467" spans="1:8" x14ac:dyDescent="0.25">
      <c r="A467" s="4" t="s">
        <v>4198</v>
      </c>
      <c r="B467" s="4" t="s">
        <v>34</v>
      </c>
      <c r="F467" s="4" t="s">
        <v>9</v>
      </c>
      <c r="G467" s="4" t="s">
        <v>4199</v>
      </c>
      <c r="H467" s="6" t="s">
        <v>11</v>
      </c>
    </row>
    <row r="468" spans="1:8" x14ac:dyDescent="0.25">
      <c r="A468" s="4" t="s">
        <v>4200</v>
      </c>
      <c r="B468" s="4" t="s">
        <v>34</v>
      </c>
      <c r="F468" s="4" t="s">
        <v>9</v>
      </c>
      <c r="G468" s="4" t="s">
        <v>4201</v>
      </c>
      <c r="H468" s="6" t="s">
        <v>11</v>
      </c>
    </row>
    <row r="469" spans="1:8" x14ac:dyDescent="0.25">
      <c r="A469" s="4" t="s">
        <v>4202</v>
      </c>
      <c r="B469" s="4" t="s">
        <v>34</v>
      </c>
      <c r="F469" s="4" t="s">
        <v>9</v>
      </c>
      <c r="G469" s="4" t="s">
        <v>4203</v>
      </c>
      <c r="H469" s="6" t="s">
        <v>11</v>
      </c>
    </row>
    <row r="470" spans="1:8" x14ac:dyDescent="0.25">
      <c r="A470" s="4" t="s">
        <v>4204</v>
      </c>
      <c r="B470" s="4" t="s">
        <v>34</v>
      </c>
      <c r="D470" s="5">
        <v>20.21</v>
      </c>
      <c r="E470" s="5">
        <v>1.03</v>
      </c>
      <c r="F470" s="4" t="s">
        <v>35</v>
      </c>
      <c r="G470" s="4" t="s">
        <v>4205</v>
      </c>
      <c r="H470" s="6" t="s">
        <v>11</v>
      </c>
    </row>
    <row r="471" spans="1:8" x14ac:dyDescent="0.25">
      <c r="A471" s="4" t="s">
        <v>4206</v>
      </c>
      <c r="B471" s="4" t="s">
        <v>34</v>
      </c>
      <c r="D471" s="5">
        <v>12.38</v>
      </c>
      <c r="F471" s="4" t="s">
        <v>35</v>
      </c>
      <c r="G471" s="4" t="s">
        <v>4207</v>
      </c>
      <c r="H471" s="6" t="s">
        <v>11</v>
      </c>
    </row>
    <row r="472" spans="1:8" x14ac:dyDescent="0.25">
      <c r="A472" s="4" t="s">
        <v>4214</v>
      </c>
      <c r="B472" s="4" t="s">
        <v>34</v>
      </c>
      <c r="F472" s="4" t="s">
        <v>9</v>
      </c>
      <c r="G472" s="4" t="s">
        <v>4215</v>
      </c>
      <c r="H472" s="6" t="s">
        <v>11</v>
      </c>
    </row>
    <row r="473" spans="1:8" x14ac:dyDescent="0.25">
      <c r="A473" s="4" t="s">
        <v>4228</v>
      </c>
      <c r="B473" s="4" t="s">
        <v>34</v>
      </c>
      <c r="F473" s="4" t="s">
        <v>9</v>
      </c>
      <c r="G473" s="4" t="s">
        <v>4229</v>
      </c>
      <c r="H473" s="6" t="s">
        <v>11</v>
      </c>
    </row>
    <row r="474" spans="1:8" x14ac:dyDescent="0.25">
      <c r="A474" s="4" t="s">
        <v>4230</v>
      </c>
      <c r="B474" s="4" t="s">
        <v>34</v>
      </c>
      <c r="F474" s="4" t="s">
        <v>9</v>
      </c>
      <c r="G474" s="4" t="s">
        <v>4231</v>
      </c>
      <c r="H474" s="6" t="s">
        <v>11</v>
      </c>
    </row>
    <row r="475" spans="1:8" x14ac:dyDescent="0.25">
      <c r="A475" s="4" t="s">
        <v>4232</v>
      </c>
      <c r="B475" s="4" t="s">
        <v>34</v>
      </c>
      <c r="F475" s="4" t="s">
        <v>9</v>
      </c>
      <c r="G475" s="4" t="s">
        <v>4233</v>
      </c>
      <c r="H475" s="6" t="s">
        <v>11</v>
      </c>
    </row>
    <row r="476" spans="1:8" x14ac:dyDescent="0.25">
      <c r="A476" s="4" t="s">
        <v>4234</v>
      </c>
      <c r="B476" s="4" t="s">
        <v>34</v>
      </c>
      <c r="D476" s="5">
        <v>72.209999999999994</v>
      </c>
      <c r="F476" s="4" t="s">
        <v>9</v>
      </c>
      <c r="G476" s="4" t="s">
        <v>4235</v>
      </c>
      <c r="H476" s="6" t="s">
        <v>11</v>
      </c>
    </row>
    <row r="477" spans="1:8" x14ac:dyDescent="0.25">
      <c r="A477" s="4" t="s">
        <v>4236</v>
      </c>
      <c r="B477" s="4" t="s">
        <v>34</v>
      </c>
      <c r="F477" s="4" t="s">
        <v>9</v>
      </c>
      <c r="G477" s="4" t="s">
        <v>4237</v>
      </c>
      <c r="H477" s="6" t="s">
        <v>11</v>
      </c>
    </row>
    <row r="478" spans="1:8" x14ac:dyDescent="0.25">
      <c r="A478" s="4" t="s">
        <v>4250</v>
      </c>
      <c r="B478" s="4" t="s">
        <v>34</v>
      </c>
      <c r="F478" s="4" t="s">
        <v>9</v>
      </c>
      <c r="G478" s="4" t="s">
        <v>4251</v>
      </c>
      <c r="H478" s="6" t="s">
        <v>11</v>
      </c>
    </row>
    <row r="479" spans="1:8" x14ac:dyDescent="0.25">
      <c r="A479" s="4" t="s">
        <v>4254</v>
      </c>
      <c r="B479" s="4" t="s">
        <v>34</v>
      </c>
      <c r="D479" s="5">
        <v>43.43</v>
      </c>
      <c r="F479" s="4" t="s">
        <v>35</v>
      </c>
      <c r="G479" s="4" t="s">
        <v>4255</v>
      </c>
      <c r="H479" s="6" t="s">
        <v>11</v>
      </c>
    </row>
    <row r="480" spans="1:8" x14ac:dyDescent="0.25">
      <c r="A480" s="4" t="s">
        <v>4256</v>
      </c>
      <c r="B480" s="4" t="s">
        <v>34</v>
      </c>
      <c r="D480" s="5">
        <v>46.29</v>
      </c>
      <c r="E480" s="5">
        <v>0.56999999999999995</v>
      </c>
      <c r="F480" s="4" t="s">
        <v>35</v>
      </c>
      <c r="G480" s="4" t="s">
        <v>4257</v>
      </c>
      <c r="H480" s="6" t="s">
        <v>11</v>
      </c>
    </row>
    <row r="481" spans="1:8" x14ac:dyDescent="0.25">
      <c r="A481" s="4" t="s">
        <v>4258</v>
      </c>
      <c r="B481" s="4" t="s">
        <v>34</v>
      </c>
      <c r="D481" s="5">
        <v>36.96</v>
      </c>
      <c r="F481" s="4" t="s">
        <v>35</v>
      </c>
      <c r="G481" s="4" t="s">
        <v>4259</v>
      </c>
      <c r="H481" s="6" t="s">
        <v>11</v>
      </c>
    </row>
    <row r="482" spans="1:8" x14ac:dyDescent="0.25">
      <c r="A482" s="4" t="s">
        <v>4260</v>
      </c>
      <c r="B482" s="4" t="s">
        <v>34</v>
      </c>
      <c r="D482" s="5">
        <v>260</v>
      </c>
      <c r="F482" s="4" t="s">
        <v>35</v>
      </c>
      <c r="G482" s="4" t="s">
        <v>4261</v>
      </c>
      <c r="H482" s="6" t="s">
        <v>11</v>
      </c>
    </row>
    <row r="483" spans="1:8" x14ac:dyDescent="0.25">
      <c r="A483" s="4" t="s">
        <v>4262</v>
      </c>
      <c r="B483" s="4" t="s">
        <v>34</v>
      </c>
      <c r="C483" s="5">
        <v>119.8</v>
      </c>
      <c r="D483" s="5">
        <v>59.52</v>
      </c>
      <c r="F483" s="4" t="s">
        <v>35</v>
      </c>
      <c r="G483" s="4" t="s">
        <v>4263</v>
      </c>
      <c r="H483" s="6" t="s">
        <v>11</v>
      </c>
    </row>
    <row r="484" spans="1:8" x14ac:dyDescent="0.25">
      <c r="A484" s="4" t="s">
        <v>4264</v>
      </c>
      <c r="B484" s="4" t="s">
        <v>34</v>
      </c>
      <c r="D484" s="5">
        <v>122.83</v>
      </c>
      <c r="F484" s="4" t="s">
        <v>35</v>
      </c>
      <c r="G484" s="4" t="s">
        <v>4265</v>
      </c>
      <c r="H484" s="6" t="s">
        <v>11</v>
      </c>
    </row>
    <row r="485" spans="1:8" x14ac:dyDescent="0.25">
      <c r="A485" s="4" t="s">
        <v>4266</v>
      </c>
      <c r="B485" s="4" t="s">
        <v>34</v>
      </c>
      <c r="D485" s="5">
        <v>31.15</v>
      </c>
      <c r="E485" s="5">
        <v>62.78</v>
      </c>
      <c r="F485" s="4" t="s">
        <v>35</v>
      </c>
      <c r="G485" s="4" t="s">
        <v>4267</v>
      </c>
      <c r="H485" s="6" t="s">
        <v>11</v>
      </c>
    </row>
    <row r="486" spans="1:8" x14ac:dyDescent="0.25">
      <c r="A486" s="4" t="s">
        <v>4268</v>
      </c>
      <c r="B486" s="4" t="s">
        <v>34</v>
      </c>
      <c r="D486" s="5">
        <v>30.55</v>
      </c>
      <c r="E486" s="5">
        <v>-1.38</v>
      </c>
      <c r="F486" s="4" t="s">
        <v>35</v>
      </c>
      <c r="G486" s="4" t="s">
        <v>4269</v>
      </c>
      <c r="H486" s="6" t="s">
        <v>11</v>
      </c>
    </row>
    <row r="487" spans="1:8" x14ac:dyDescent="0.25">
      <c r="A487" s="4" t="s">
        <v>4270</v>
      </c>
      <c r="B487" s="4" t="s">
        <v>34</v>
      </c>
      <c r="D487" s="5">
        <v>46.67</v>
      </c>
      <c r="E487" s="5">
        <v>22.73</v>
      </c>
      <c r="F487" s="4" t="s">
        <v>35</v>
      </c>
      <c r="G487" s="4" t="s">
        <v>4271</v>
      </c>
      <c r="H487" s="6" t="s">
        <v>11</v>
      </c>
    </row>
    <row r="488" spans="1:8" x14ac:dyDescent="0.25">
      <c r="A488" s="4" t="str">
        <f>"QUEIJO PROVOLONE - ESTOQUE TAP "</f>
        <v xml:space="preserve">QUEIJO PROVOLONE - ESTOQUE TAP </v>
      </c>
      <c r="B488" s="4" t="s">
        <v>34</v>
      </c>
      <c r="D488" s="5">
        <v>40.5</v>
      </c>
      <c r="E488" s="5">
        <v>5.7649999999999997</v>
      </c>
      <c r="F488" s="4" t="s">
        <v>35</v>
      </c>
      <c r="G488" s="4" t="s">
        <v>4272</v>
      </c>
      <c r="H488" s="6" t="s">
        <v>11</v>
      </c>
    </row>
    <row r="489" spans="1:8" x14ac:dyDescent="0.25">
      <c r="A489" s="4" t="s">
        <v>4273</v>
      </c>
      <c r="B489" s="4" t="s">
        <v>34</v>
      </c>
      <c r="D489" s="5">
        <v>80.36</v>
      </c>
      <c r="F489" s="4" t="s">
        <v>35</v>
      </c>
      <c r="G489" s="4" t="s">
        <v>4274</v>
      </c>
      <c r="H489" s="6" t="s">
        <v>11</v>
      </c>
    </row>
    <row r="490" spans="1:8" x14ac:dyDescent="0.25">
      <c r="A490" s="4" t="s">
        <v>4279</v>
      </c>
      <c r="B490" s="4" t="s">
        <v>34</v>
      </c>
      <c r="D490" s="5">
        <v>7.2</v>
      </c>
      <c r="F490" s="4" t="s">
        <v>35</v>
      </c>
      <c r="G490" s="4" t="s">
        <v>4280</v>
      </c>
      <c r="H490" s="6" t="s">
        <v>11</v>
      </c>
    </row>
    <row r="491" spans="1:8" x14ac:dyDescent="0.25">
      <c r="A491" s="4" t="s">
        <v>4289</v>
      </c>
      <c r="B491" s="4" t="s">
        <v>34</v>
      </c>
      <c r="D491" s="5">
        <v>70</v>
      </c>
      <c r="F491" s="4" t="s">
        <v>35</v>
      </c>
      <c r="G491" s="4" t="s">
        <v>4290</v>
      </c>
      <c r="H491" s="6" t="s">
        <v>11</v>
      </c>
    </row>
    <row r="492" spans="1:8" x14ac:dyDescent="0.25">
      <c r="A492" s="4" t="str">
        <f>"RAVIOLLI LIMAO SICILIANO - ESTOQUE TAP "</f>
        <v xml:space="preserve">RAVIOLLI LIMAO SICILIANO - ESTOQUE TAP </v>
      </c>
      <c r="B492" s="4" t="s">
        <v>34</v>
      </c>
      <c r="D492" s="5">
        <v>70</v>
      </c>
      <c r="F492" s="4" t="s">
        <v>35</v>
      </c>
      <c r="G492" s="4" t="s">
        <v>4291</v>
      </c>
      <c r="H492" s="6" t="s">
        <v>11</v>
      </c>
    </row>
    <row r="493" spans="1:8" x14ac:dyDescent="0.25">
      <c r="A493" s="4" t="s">
        <v>4292</v>
      </c>
      <c r="B493" s="4" t="s">
        <v>34</v>
      </c>
      <c r="D493" s="5">
        <v>60.04</v>
      </c>
      <c r="F493" s="4" t="s">
        <v>35</v>
      </c>
      <c r="G493" s="4" t="s">
        <v>4293</v>
      </c>
      <c r="H493" s="6" t="s">
        <v>11</v>
      </c>
    </row>
    <row r="494" spans="1:8" x14ac:dyDescent="0.25">
      <c r="A494" s="4" t="s">
        <v>4327</v>
      </c>
      <c r="B494" s="4" t="s">
        <v>34</v>
      </c>
      <c r="D494" s="5">
        <v>0.65</v>
      </c>
      <c r="F494" s="4" t="s">
        <v>9</v>
      </c>
      <c r="G494" s="4" t="s">
        <v>4328</v>
      </c>
      <c r="H494" s="6" t="s">
        <v>11</v>
      </c>
    </row>
    <row r="495" spans="1:8" x14ac:dyDescent="0.25">
      <c r="A495" s="4" t="s">
        <v>4331</v>
      </c>
      <c r="B495" s="4" t="s">
        <v>34</v>
      </c>
      <c r="D495" s="5">
        <v>9.2200000000000006</v>
      </c>
      <c r="F495" s="4" t="s">
        <v>35</v>
      </c>
      <c r="G495" s="4" t="s">
        <v>4332</v>
      </c>
      <c r="H495" s="6" t="s">
        <v>11</v>
      </c>
    </row>
    <row r="496" spans="1:8" x14ac:dyDescent="0.25">
      <c r="A496" s="4" t="s">
        <v>4333</v>
      </c>
      <c r="B496" s="4" t="s">
        <v>34</v>
      </c>
      <c r="D496" s="5">
        <v>5.87</v>
      </c>
      <c r="F496" s="4" t="s">
        <v>35</v>
      </c>
      <c r="G496" s="4" t="s">
        <v>4334</v>
      </c>
      <c r="H496" s="6" t="s">
        <v>11</v>
      </c>
    </row>
    <row r="497" spans="1:8" x14ac:dyDescent="0.25">
      <c r="A497" s="4" t="s">
        <v>4335</v>
      </c>
      <c r="B497" s="4" t="s">
        <v>34</v>
      </c>
      <c r="D497" s="5">
        <v>31.87</v>
      </c>
      <c r="F497" s="4" t="s">
        <v>35</v>
      </c>
      <c r="G497" s="4" t="s">
        <v>4336</v>
      </c>
      <c r="H497" s="6" t="s">
        <v>11</v>
      </c>
    </row>
    <row r="498" spans="1:8" x14ac:dyDescent="0.25">
      <c r="A498" s="4" t="s">
        <v>4347</v>
      </c>
      <c r="B498" s="4" t="s">
        <v>34</v>
      </c>
      <c r="D498" s="5">
        <v>6.69</v>
      </c>
      <c r="E498" s="5">
        <v>0.15</v>
      </c>
      <c r="F498" s="4" t="s">
        <v>35</v>
      </c>
      <c r="G498" s="4" t="s">
        <v>4348</v>
      </c>
      <c r="H498" s="6" t="s">
        <v>11</v>
      </c>
    </row>
    <row r="499" spans="1:8" x14ac:dyDescent="0.25">
      <c r="A499" s="4" t="s">
        <v>4367</v>
      </c>
      <c r="B499" s="4" t="s">
        <v>34</v>
      </c>
      <c r="F499" s="4" t="s">
        <v>9</v>
      </c>
      <c r="G499" s="4" t="s">
        <v>4368</v>
      </c>
      <c r="H499" s="6" t="s">
        <v>11</v>
      </c>
    </row>
    <row r="500" spans="1:8" x14ac:dyDescent="0.25">
      <c r="A500" s="4" t="s">
        <v>4379</v>
      </c>
      <c r="B500" s="4" t="s">
        <v>34</v>
      </c>
      <c r="F500" s="4" t="s">
        <v>9</v>
      </c>
      <c r="G500" s="4" t="s">
        <v>4380</v>
      </c>
      <c r="H500" s="6" t="s">
        <v>11</v>
      </c>
    </row>
    <row r="501" spans="1:8" x14ac:dyDescent="0.25">
      <c r="A501" s="4" t="s">
        <v>4416</v>
      </c>
      <c r="B501" s="4" t="s">
        <v>34</v>
      </c>
      <c r="D501" s="5">
        <v>38</v>
      </c>
      <c r="F501" s="4" t="s">
        <v>35</v>
      </c>
      <c r="G501" s="4" t="s">
        <v>4417</v>
      </c>
      <c r="H501" s="6" t="s">
        <v>11</v>
      </c>
    </row>
    <row r="502" spans="1:8" x14ac:dyDescent="0.25">
      <c r="A502" s="4" t="s">
        <v>4418</v>
      </c>
      <c r="B502" s="4" t="s">
        <v>34</v>
      </c>
      <c r="D502" s="5">
        <v>3</v>
      </c>
      <c r="E502" s="5">
        <v>20</v>
      </c>
      <c r="F502" s="4" t="s">
        <v>35</v>
      </c>
      <c r="G502" s="4" t="s">
        <v>4419</v>
      </c>
      <c r="H502" s="6" t="s">
        <v>11</v>
      </c>
    </row>
    <row r="503" spans="1:8" x14ac:dyDescent="0.25">
      <c r="A503" s="4" t="s">
        <v>4420</v>
      </c>
      <c r="B503" s="4" t="s">
        <v>34</v>
      </c>
      <c r="D503" s="5">
        <v>0.71</v>
      </c>
      <c r="F503" s="4" t="s">
        <v>35</v>
      </c>
      <c r="G503" s="4" t="s">
        <v>4421</v>
      </c>
      <c r="H503" s="6" t="s">
        <v>11</v>
      </c>
    </row>
    <row r="504" spans="1:8" x14ac:dyDescent="0.25">
      <c r="A504" s="4" t="s">
        <v>4426</v>
      </c>
      <c r="B504" s="4" t="s">
        <v>34</v>
      </c>
      <c r="D504" s="5">
        <v>129.9</v>
      </c>
      <c r="F504" s="4" t="s">
        <v>35</v>
      </c>
      <c r="G504" s="4" t="s">
        <v>4427</v>
      </c>
      <c r="H504" s="6" t="s">
        <v>11</v>
      </c>
    </row>
    <row r="505" spans="1:8" x14ac:dyDescent="0.25">
      <c r="A505" s="4" t="s">
        <v>4428</v>
      </c>
      <c r="B505" s="4" t="s">
        <v>34</v>
      </c>
      <c r="D505" s="5">
        <v>22</v>
      </c>
      <c r="F505" s="4" t="s">
        <v>35</v>
      </c>
      <c r="G505" s="4" t="s">
        <v>4429</v>
      </c>
      <c r="H505" s="6" t="s">
        <v>11</v>
      </c>
    </row>
    <row r="506" spans="1:8" x14ac:dyDescent="0.25">
      <c r="A506" s="4" t="s">
        <v>4430</v>
      </c>
      <c r="B506" s="4" t="s">
        <v>34</v>
      </c>
      <c r="D506" s="5">
        <v>28.2</v>
      </c>
      <c r="F506" s="4" t="s">
        <v>35</v>
      </c>
      <c r="G506" s="4" t="s">
        <v>4431</v>
      </c>
      <c r="H506" s="6" t="s">
        <v>11</v>
      </c>
    </row>
    <row r="507" spans="1:8" x14ac:dyDescent="0.25">
      <c r="A507" s="4" t="s">
        <v>4434</v>
      </c>
      <c r="B507" s="4" t="s">
        <v>34</v>
      </c>
      <c r="D507" s="5">
        <v>34.08</v>
      </c>
      <c r="F507" s="4" t="s">
        <v>35</v>
      </c>
      <c r="G507" s="4" t="s">
        <v>4435</v>
      </c>
      <c r="H507" s="6" t="s">
        <v>11</v>
      </c>
    </row>
    <row r="508" spans="1:8" x14ac:dyDescent="0.25">
      <c r="A508" s="4" t="s">
        <v>4436</v>
      </c>
      <c r="B508" s="4" t="s">
        <v>34</v>
      </c>
      <c r="D508" s="5">
        <v>34.08</v>
      </c>
      <c r="F508" s="4" t="s">
        <v>35</v>
      </c>
      <c r="G508" s="4" t="s">
        <v>4437</v>
      </c>
      <c r="H508" s="6" t="s">
        <v>11</v>
      </c>
    </row>
    <row r="509" spans="1:8" x14ac:dyDescent="0.25">
      <c r="A509" s="4" t="s">
        <v>4438</v>
      </c>
      <c r="B509" s="4" t="s">
        <v>34</v>
      </c>
      <c r="D509" s="5">
        <v>12.25</v>
      </c>
      <c r="F509" s="4" t="s">
        <v>35</v>
      </c>
      <c r="G509" s="4" t="s">
        <v>4439</v>
      </c>
      <c r="H509" s="6" t="s">
        <v>11</v>
      </c>
    </row>
    <row r="510" spans="1:8" x14ac:dyDescent="0.25">
      <c r="A510" s="4" t="s">
        <v>4467</v>
      </c>
      <c r="B510" s="4" t="s">
        <v>34</v>
      </c>
      <c r="D510" s="5">
        <v>13.62</v>
      </c>
      <c r="F510" s="4" t="s">
        <v>35</v>
      </c>
      <c r="G510" s="4" t="s">
        <v>4468</v>
      </c>
      <c r="H510" s="6" t="s">
        <v>11</v>
      </c>
    </row>
    <row r="511" spans="1:8" x14ac:dyDescent="0.25">
      <c r="A511" s="4" t="s">
        <v>4471</v>
      </c>
      <c r="B511" s="4" t="s">
        <v>34</v>
      </c>
      <c r="D511" s="5">
        <v>43.92</v>
      </c>
      <c r="F511" s="4" t="s">
        <v>59</v>
      </c>
      <c r="G511" s="4" t="s">
        <v>4472</v>
      </c>
      <c r="H511" s="6" t="s">
        <v>11</v>
      </c>
    </row>
    <row r="512" spans="1:8" x14ac:dyDescent="0.25">
      <c r="A512" s="4" t="s">
        <v>4473</v>
      </c>
      <c r="B512" s="4" t="s">
        <v>34</v>
      </c>
      <c r="D512" s="5">
        <v>44.48</v>
      </c>
      <c r="F512" s="4" t="s">
        <v>59</v>
      </c>
      <c r="G512" s="4" t="s">
        <v>4474</v>
      </c>
      <c r="H512" s="6" t="s">
        <v>11</v>
      </c>
    </row>
    <row r="513" spans="1:8" x14ac:dyDescent="0.25">
      <c r="A513" s="4" t="s">
        <v>4481</v>
      </c>
      <c r="B513" s="4" t="s">
        <v>34</v>
      </c>
      <c r="D513" s="5">
        <v>12.14</v>
      </c>
      <c r="F513" s="4" t="s">
        <v>35</v>
      </c>
      <c r="G513" s="4" t="s">
        <v>4482</v>
      </c>
      <c r="H513" s="6" t="s">
        <v>11</v>
      </c>
    </row>
    <row r="514" spans="1:8" x14ac:dyDescent="0.25">
      <c r="A514" s="4" t="str">
        <f>"STROGONOFF DE PATINHO - ESTOQUE TAP "</f>
        <v xml:space="preserve">STROGONOFF DE PATINHO - ESTOQUE TAP </v>
      </c>
      <c r="B514" s="4" t="s">
        <v>34</v>
      </c>
      <c r="D514" s="5">
        <v>34.799999999999997</v>
      </c>
      <c r="F514" s="4" t="s">
        <v>35</v>
      </c>
      <c r="G514" s="4" t="s">
        <v>4485</v>
      </c>
      <c r="H514" s="6" t="s">
        <v>11</v>
      </c>
    </row>
    <row r="515" spans="1:8" x14ac:dyDescent="0.25">
      <c r="A515" s="4" t="str">
        <f>"SUCO LIMAO 1 LITRO (PRODUZIDO NO BAR) "</f>
        <v xml:space="preserve">SUCO LIMAO 1 LITRO (PRODUZIDO NO BAR) </v>
      </c>
      <c r="B515" s="4" t="s">
        <v>34</v>
      </c>
      <c r="D515" s="5">
        <v>4.38</v>
      </c>
      <c r="F515" s="4" t="s">
        <v>35</v>
      </c>
      <c r="G515" s="4" t="s">
        <v>4501</v>
      </c>
      <c r="H515" s="6" t="s">
        <v>11</v>
      </c>
    </row>
    <row r="516" spans="1:8" x14ac:dyDescent="0.25">
      <c r="A516" s="4" t="str">
        <f>"SWEET CHILLI - TAP "</f>
        <v xml:space="preserve">SWEET CHILLI - TAP </v>
      </c>
      <c r="B516" s="4" t="s">
        <v>34</v>
      </c>
      <c r="D516" s="5">
        <v>91.7</v>
      </c>
      <c r="F516" s="4" t="s">
        <v>35</v>
      </c>
      <c r="G516" s="4" t="s">
        <v>4508</v>
      </c>
      <c r="H516" s="6" t="s">
        <v>11</v>
      </c>
    </row>
    <row r="517" spans="1:8" x14ac:dyDescent="0.25">
      <c r="A517" s="4" t="s">
        <v>4567</v>
      </c>
      <c r="B517" s="4" t="s">
        <v>34</v>
      </c>
      <c r="D517" s="5">
        <v>6.12</v>
      </c>
      <c r="F517" s="4" t="s">
        <v>35</v>
      </c>
      <c r="G517" s="4" t="s">
        <v>4568</v>
      </c>
      <c r="H517" s="6" t="s">
        <v>11</v>
      </c>
    </row>
    <row r="518" spans="1:8" x14ac:dyDescent="0.25">
      <c r="A518" s="4" t="s">
        <v>4569</v>
      </c>
      <c r="B518" s="4" t="s">
        <v>34</v>
      </c>
      <c r="F518" s="4" t="s">
        <v>35</v>
      </c>
      <c r="G518" s="4" t="s">
        <v>4570</v>
      </c>
      <c r="H518" s="6" t="s">
        <v>11</v>
      </c>
    </row>
    <row r="519" spans="1:8" x14ac:dyDescent="0.25">
      <c r="A519" s="4" t="s">
        <v>4573</v>
      </c>
      <c r="B519" s="4" t="s">
        <v>34</v>
      </c>
      <c r="F519" s="4" t="s">
        <v>9</v>
      </c>
      <c r="G519" s="4" t="s">
        <v>4574</v>
      </c>
      <c r="H519" s="6" t="s">
        <v>11</v>
      </c>
    </row>
    <row r="520" spans="1:8" x14ac:dyDescent="0.25">
      <c r="A520" s="4" t="s">
        <v>4581</v>
      </c>
      <c r="B520" s="4" t="s">
        <v>34</v>
      </c>
      <c r="F520" s="4" t="s">
        <v>9</v>
      </c>
      <c r="G520" s="4" t="s">
        <v>4582</v>
      </c>
      <c r="H520" s="6" t="s">
        <v>11</v>
      </c>
    </row>
    <row r="521" spans="1:8" x14ac:dyDescent="0.25">
      <c r="A521" s="4" t="s">
        <v>4585</v>
      </c>
      <c r="B521" s="4" t="s">
        <v>34</v>
      </c>
      <c r="D521" s="5">
        <v>384.17</v>
      </c>
      <c r="E521" s="5">
        <v>-4.1099999999999998E-2</v>
      </c>
      <c r="F521" s="4" t="s">
        <v>59</v>
      </c>
      <c r="G521" s="4" t="s">
        <v>4586</v>
      </c>
      <c r="H521" s="6" t="s">
        <v>11</v>
      </c>
    </row>
    <row r="522" spans="1:8" x14ac:dyDescent="0.25">
      <c r="A522" s="4" t="s">
        <v>4628</v>
      </c>
      <c r="B522" s="4" t="s">
        <v>34</v>
      </c>
      <c r="D522" s="5">
        <v>95</v>
      </c>
      <c r="F522" s="4" t="s">
        <v>35</v>
      </c>
      <c r="G522" s="4" t="s">
        <v>4629</v>
      </c>
      <c r="H522" s="6" t="s">
        <v>11</v>
      </c>
    </row>
    <row r="523" spans="1:8" x14ac:dyDescent="0.25">
      <c r="A523" s="4" t="s">
        <v>4648</v>
      </c>
      <c r="B523" s="4" t="s">
        <v>34</v>
      </c>
      <c r="D523" s="5">
        <v>8</v>
      </c>
      <c r="F523" s="4" t="s">
        <v>35</v>
      </c>
      <c r="G523" s="4" t="s">
        <v>4649</v>
      </c>
      <c r="H523" s="6" t="s">
        <v>11</v>
      </c>
    </row>
    <row r="524" spans="1:8" x14ac:dyDescent="0.25">
      <c r="A524" s="4" t="s">
        <v>4650</v>
      </c>
      <c r="B524" s="4" t="s">
        <v>34</v>
      </c>
      <c r="D524" s="5">
        <v>14.75</v>
      </c>
      <c r="F524" s="4" t="s">
        <v>35</v>
      </c>
      <c r="G524" s="4" t="s">
        <v>4651</v>
      </c>
      <c r="H524" s="6" t="s">
        <v>11</v>
      </c>
    </row>
    <row r="525" spans="1:8" x14ac:dyDescent="0.25">
      <c r="A525" s="4" t="s">
        <v>4652</v>
      </c>
      <c r="B525" s="4" t="s">
        <v>34</v>
      </c>
      <c r="D525" s="5">
        <v>17</v>
      </c>
      <c r="F525" s="4" t="s">
        <v>35</v>
      </c>
      <c r="G525" s="4" t="s">
        <v>4653</v>
      </c>
      <c r="H525" s="6" t="s">
        <v>11</v>
      </c>
    </row>
    <row r="526" spans="1:8" x14ac:dyDescent="0.25">
      <c r="A526" s="4" t="s">
        <v>4654</v>
      </c>
      <c r="B526" s="4" t="s">
        <v>34</v>
      </c>
      <c r="D526" s="5">
        <v>7.13</v>
      </c>
      <c r="E526" s="5">
        <v>20</v>
      </c>
      <c r="F526" s="4" t="s">
        <v>35</v>
      </c>
      <c r="G526" s="4" t="s">
        <v>4655</v>
      </c>
      <c r="H526" s="6" t="s">
        <v>11</v>
      </c>
    </row>
    <row r="527" spans="1:8" x14ac:dyDescent="0.25">
      <c r="A527" s="4" t="s">
        <v>4656</v>
      </c>
      <c r="B527" s="4" t="s">
        <v>34</v>
      </c>
      <c r="D527" s="5">
        <v>0.97</v>
      </c>
      <c r="F527" s="4" t="s">
        <v>35</v>
      </c>
      <c r="G527" s="4" t="s">
        <v>4657</v>
      </c>
      <c r="H527" s="6" t="s">
        <v>11</v>
      </c>
    </row>
    <row r="528" spans="1:8" x14ac:dyDescent="0.25">
      <c r="A528" s="4" t="s">
        <v>4658</v>
      </c>
      <c r="B528" s="4" t="s">
        <v>34</v>
      </c>
      <c r="D528" s="5">
        <v>6.74</v>
      </c>
      <c r="F528" s="4" t="s">
        <v>35</v>
      </c>
      <c r="G528" s="4" t="s">
        <v>4659</v>
      </c>
      <c r="H528" s="6" t="s">
        <v>11</v>
      </c>
    </row>
    <row r="529" spans="1:8" x14ac:dyDescent="0.25">
      <c r="A529" s="4" t="str">
        <f>"TUBETES DE SORVETE - ESTOQUE TAP "</f>
        <v xml:space="preserve">TUBETES DE SORVETE - ESTOQUE TAP </v>
      </c>
      <c r="B529" s="4" t="s">
        <v>34</v>
      </c>
      <c r="D529" s="5">
        <v>32.200000000000003</v>
      </c>
      <c r="F529" s="4" t="s">
        <v>66</v>
      </c>
      <c r="G529" s="4" t="s">
        <v>4672</v>
      </c>
      <c r="H529" s="6" t="s">
        <v>11</v>
      </c>
    </row>
    <row r="530" spans="1:8" x14ac:dyDescent="0.25">
      <c r="A530" s="4" t="s">
        <v>4673</v>
      </c>
      <c r="B530" s="4" t="s">
        <v>34</v>
      </c>
      <c r="D530" s="5">
        <v>1.0900000000000001</v>
      </c>
      <c r="F530" s="4" t="s">
        <v>9</v>
      </c>
      <c r="G530" s="4" t="s">
        <v>4674</v>
      </c>
      <c r="H530" s="6" t="s">
        <v>11</v>
      </c>
    </row>
    <row r="531" spans="1:8" x14ac:dyDescent="0.25">
      <c r="A531" s="4" t="s">
        <v>4675</v>
      </c>
      <c r="B531" s="4" t="s">
        <v>34</v>
      </c>
      <c r="F531" s="4" t="s">
        <v>9</v>
      </c>
      <c r="G531" s="4" t="s">
        <v>4676</v>
      </c>
      <c r="H531" s="6" t="s">
        <v>11</v>
      </c>
    </row>
    <row r="532" spans="1:8" x14ac:dyDescent="0.25">
      <c r="A532" s="4" t="s">
        <v>4677</v>
      </c>
      <c r="B532" s="4" t="s">
        <v>34</v>
      </c>
      <c r="F532" s="4" t="s">
        <v>35</v>
      </c>
      <c r="G532" s="4" t="s">
        <v>4678</v>
      </c>
      <c r="H532" s="6" t="s">
        <v>11</v>
      </c>
    </row>
    <row r="533" spans="1:8" x14ac:dyDescent="0.25">
      <c r="A533" s="4" t="s">
        <v>4679</v>
      </c>
      <c r="B533" s="4" t="s">
        <v>34</v>
      </c>
      <c r="F533" s="4" t="s">
        <v>9</v>
      </c>
      <c r="G533" s="4" t="s">
        <v>4680</v>
      </c>
      <c r="H533" s="6" t="s">
        <v>11</v>
      </c>
    </row>
    <row r="534" spans="1:8" x14ac:dyDescent="0.25">
      <c r="A534" s="4" t="s">
        <v>4681</v>
      </c>
      <c r="B534" s="4" t="s">
        <v>34</v>
      </c>
      <c r="F534" s="4" t="s">
        <v>9</v>
      </c>
      <c r="G534" s="4" t="s">
        <v>4682</v>
      </c>
      <c r="H534" s="6" t="s">
        <v>11</v>
      </c>
    </row>
    <row r="535" spans="1:8" x14ac:dyDescent="0.25">
      <c r="A535" s="4" t="s">
        <v>4683</v>
      </c>
      <c r="B535" s="4" t="s">
        <v>34</v>
      </c>
      <c r="F535" s="4" t="s">
        <v>9</v>
      </c>
      <c r="G535" s="4" t="s">
        <v>4684</v>
      </c>
      <c r="H535" s="6" t="s">
        <v>11</v>
      </c>
    </row>
    <row r="536" spans="1:8" x14ac:dyDescent="0.25">
      <c r="A536" s="4" t="s">
        <v>4685</v>
      </c>
      <c r="B536" s="4" t="s">
        <v>34</v>
      </c>
      <c r="D536" s="5">
        <v>20.7</v>
      </c>
      <c r="F536" s="4" t="s">
        <v>9</v>
      </c>
      <c r="G536" s="4" t="s">
        <v>4686</v>
      </c>
      <c r="H536" s="6" t="s">
        <v>11</v>
      </c>
    </row>
    <row r="537" spans="1:8" x14ac:dyDescent="0.25">
      <c r="A537" s="4" t="s">
        <v>4691</v>
      </c>
      <c r="B537" s="4" t="s">
        <v>34</v>
      </c>
      <c r="F537" s="4" t="s">
        <v>9</v>
      </c>
      <c r="G537" s="4" t="s">
        <v>4692</v>
      </c>
      <c r="H537" s="6" t="s">
        <v>11</v>
      </c>
    </row>
    <row r="538" spans="1:8" x14ac:dyDescent="0.25">
      <c r="A538" s="4" t="s">
        <v>4693</v>
      </c>
      <c r="B538" s="4" t="s">
        <v>34</v>
      </c>
      <c r="F538" s="4" t="s">
        <v>9</v>
      </c>
      <c r="G538" s="4" t="s">
        <v>4694</v>
      </c>
      <c r="H538" s="6" t="s">
        <v>11</v>
      </c>
    </row>
    <row r="539" spans="1:8" x14ac:dyDescent="0.25">
      <c r="A539" s="4" t="s">
        <v>4736</v>
      </c>
      <c r="B539" s="4" t="s">
        <v>34</v>
      </c>
      <c r="D539" s="5">
        <v>6</v>
      </c>
      <c r="F539" s="4" t="s">
        <v>59</v>
      </c>
      <c r="G539" s="4" t="s">
        <v>4737</v>
      </c>
      <c r="H539" s="6" t="s">
        <v>11</v>
      </c>
    </row>
    <row r="540" spans="1:8" x14ac:dyDescent="0.25">
      <c r="A540" s="4" t="s">
        <v>4738</v>
      </c>
      <c r="B540" s="4" t="s">
        <v>34</v>
      </c>
      <c r="D540" s="5">
        <v>32.07</v>
      </c>
      <c r="F540" s="4" t="s">
        <v>59</v>
      </c>
      <c r="G540" s="4" t="s">
        <v>4739</v>
      </c>
      <c r="H540" s="6" t="s">
        <v>11</v>
      </c>
    </row>
    <row r="541" spans="1:8" x14ac:dyDescent="0.25">
      <c r="A541" s="4" t="s">
        <v>4740</v>
      </c>
      <c r="B541" s="4" t="s">
        <v>34</v>
      </c>
      <c r="D541" s="5">
        <v>2.31</v>
      </c>
      <c r="F541" s="4" t="s">
        <v>59</v>
      </c>
      <c r="G541" s="4" t="s">
        <v>4741</v>
      </c>
      <c r="H541" s="6" t="s">
        <v>11</v>
      </c>
    </row>
    <row r="542" spans="1:8" x14ac:dyDescent="0.25">
      <c r="A542" s="4" t="s">
        <v>4742</v>
      </c>
      <c r="B542" s="4" t="s">
        <v>34</v>
      </c>
      <c r="D542" s="5">
        <v>8.89</v>
      </c>
      <c r="E542" s="5">
        <v>4.8</v>
      </c>
      <c r="F542" s="4" t="s">
        <v>59</v>
      </c>
      <c r="G542" s="4" t="s">
        <v>4743</v>
      </c>
      <c r="H542" s="6" t="s">
        <v>11</v>
      </c>
    </row>
    <row r="543" spans="1:8" x14ac:dyDescent="0.25">
      <c r="A543" s="4" t="s">
        <v>4744</v>
      </c>
      <c r="B543" s="4" t="s">
        <v>34</v>
      </c>
      <c r="D543" s="5">
        <v>0.21</v>
      </c>
      <c r="F543" s="4" t="s">
        <v>59</v>
      </c>
      <c r="G543" s="4" t="s">
        <v>4745</v>
      </c>
      <c r="H543" s="6" t="s">
        <v>11</v>
      </c>
    </row>
    <row r="544" spans="1:8" x14ac:dyDescent="0.25">
      <c r="A544" s="4" t="s">
        <v>4746</v>
      </c>
      <c r="B544" s="4" t="s">
        <v>34</v>
      </c>
      <c r="D544" s="5">
        <v>0.54</v>
      </c>
      <c r="F544" s="4" t="s">
        <v>9</v>
      </c>
      <c r="G544" s="4" t="s">
        <v>4747</v>
      </c>
      <c r="H544" s="6" t="s">
        <v>11</v>
      </c>
    </row>
    <row r="545" spans="1:8" x14ac:dyDescent="0.25">
      <c r="A545" s="4" t="s">
        <v>4750</v>
      </c>
      <c r="B545" s="4" t="s">
        <v>34</v>
      </c>
      <c r="F545" s="4" t="s">
        <v>59</v>
      </c>
      <c r="G545" s="4" t="s">
        <v>4751</v>
      </c>
      <c r="H545" s="6" t="s">
        <v>11</v>
      </c>
    </row>
    <row r="546" spans="1:8" x14ac:dyDescent="0.25">
      <c r="A546" s="4" t="s">
        <v>4759</v>
      </c>
      <c r="B546" s="4" t="s">
        <v>34</v>
      </c>
      <c r="D546" s="5">
        <v>14.65</v>
      </c>
      <c r="F546" s="4" t="s">
        <v>59</v>
      </c>
      <c r="G546" s="4" t="s">
        <v>4760</v>
      </c>
      <c r="H546" s="6" t="s">
        <v>11</v>
      </c>
    </row>
    <row r="547" spans="1:8" x14ac:dyDescent="0.25">
      <c r="A547" s="4" t="s">
        <v>4786</v>
      </c>
      <c r="B547" s="4" t="s">
        <v>34</v>
      </c>
      <c r="D547" s="5">
        <v>16.920000000000002</v>
      </c>
      <c r="F547" s="4" t="s">
        <v>35</v>
      </c>
      <c r="G547" s="4" t="s">
        <v>4787</v>
      </c>
      <c r="H547" s="6" t="s">
        <v>11</v>
      </c>
    </row>
    <row r="548" spans="1:8" x14ac:dyDescent="0.25">
      <c r="A548" s="4" t="s">
        <v>4788</v>
      </c>
      <c r="B548" s="4" t="s">
        <v>34</v>
      </c>
      <c r="F548" s="4" t="s">
        <v>9</v>
      </c>
      <c r="G548" s="4" t="s">
        <v>4789</v>
      </c>
      <c r="H548" s="6" t="s">
        <v>11</v>
      </c>
    </row>
    <row r="549" spans="1:8" x14ac:dyDescent="0.25">
      <c r="A549" s="4" t="s">
        <v>4794</v>
      </c>
      <c r="B549" s="4" t="s">
        <v>34</v>
      </c>
      <c r="F549" s="4" t="s">
        <v>9</v>
      </c>
      <c r="G549" s="4" t="s">
        <v>4795</v>
      </c>
      <c r="H549" s="6" t="s">
        <v>11</v>
      </c>
    </row>
    <row r="550" spans="1:8" x14ac:dyDescent="0.25">
      <c r="A550" s="4" t="s">
        <v>4796</v>
      </c>
      <c r="B550" s="4" t="s">
        <v>34</v>
      </c>
      <c r="F550" s="4" t="s">
        <v>9</v>
      </c>
      <c r="G550" s="4" t="s">
        <v>4797</v>
      </c>
      <c r="H550" s="6" t="s">
        <v>11</v>
      </c>
    </row>
    <row r="551" spans="1:8" x14ac:dyDescent="0.25">
      <c r="A551" s="4" t="s">
        <v>4804</v>
      </c>
      <c r="B551" s="4" t="s">
        <v>34</v>
      </c>
      <c r="D551" s="5">
        <v>35.090000000000003</v>
      </c>
      <c r="F551" s="4" t="s">
        <v>35</v>
      </c>
      <c r="G551" s="4" t="s">
        <v>4805</v>
      </c>
      <c r="H551" s="6" t="s">
        <v>11</v>
      </c>
    </row>
    <row r="552" spans="1:8" x14ac:dyDescent="0.25">
      <c r="A552" s="4" t="s">
        <v>4872</v>
      </c>
      <c r="B552" s="4" t="s">
        <v>34</v>
      </c>
      <c r="D552" s="5">
        <v>83.3</v>
      </c>
      <c r="F552" s="4" t="s">
        <v>59</v>
      </c>
      <c r="G552" s="4" t="s">
        <v>4873</v>
      </c>
      <c r="H552" s="6" t="s">
        <v>11</v>
      </c>
    </row>
    <row r="553" spans="1:8" x14ac:dyDescent="0.25">
      <c r="A553" s="4" t="s">
        <v>37</v>
      </c>
      <c r="B553" s="4" t="s">
        <v>38</v>
      </c>
      <c r="D553" s="5">
        <v>8.67</v>
      </c>
      <c r="E553" s="5">
        <v>3</v>
      </c>
      <c r="F553" s="4" t="s">
        <v>35</v>
      </c>
      <c r="G553" s="4" t="s">
        <v>39</v>
      </c>
      <c r="H553" s="6" t="s">
        <v>11</v>
      </c>
    </row>
    <row r="554" spans="1:8" x14ac:dyDescent="0.25">
      <c r="A554" s="4" t="str">
        <f>"ABACAXI DESIDRATADO SEM ACUCAR - ESTOQUE TAP "</f>
        <v xml:space="preserve">ABACAXI DESIDRATADO SEM ACUCAR - ESTOQUE TAP </v>
      </c>
      <c r="B554" s="4" t="s">
        <v>38</v>
      </c>
      <c r="D554" s="5">
        <v>85.27</v>
      </c>
      <c r="F554" s="4" t="s">
        <v>35</v>
      </c>
      <c r="G554" s="4" t="s">
        <v>40</v>
      </c>
      <c r="H554" s="6" t="s">
        <v>11</v>
      </c>
    </row>
    <row r="555" spans="1:8" x14ac:dyDescent="0.25">
      <c r="A555" s="4" t="s">
        <v>41</v>
      </c>
      <c r="B555" s="4" t="s">
        <v>38</v>
      </c>
      <c r="C555" s="5">
        <v>81.66</v>
      </c>
      <c r="D555" s="5">
        <v>39.159999999999997</v>
      </c>
      <c r="F555" s="4" t="s">
        <v>35</v>
      </c>
      <c r="G555" s="4" t="s">
        <v>42</v>
      </c>
      <c r="H555" s="6" t="s">
        <v>11</v>
      </c>
    </row>
    <row r="556" spans="1:8" x14ac:dyDescent="0.25">
      <c r="A556" s="4" t="s">
        <v>43</v>
      </c>
      <c r="B556" s="4" t="s">
        <v>38</v>
      </c>
      <c r="D556" s="5">
        <v>17.18</v>
      </c>
      <c r="F556" s="4" t="s">
        <v>9</v>
      </c>
      <c r="G556" s="4" t="s">
        <v>44</v>
      </c>
      <c r="H556" s="6" t="s">
        <v>11</v>
      </c>
    </row>
    <row r="557" spans="1:8" x14ac:dyDescent="0.25">
      <c r="A557" s="4" t="s">
        <v>61</v>
      </c>
      <c r="B557" s="4" t="s">
        <v>38</v>
      </c>
      <c r="D557" s="5">
        <v>138</v>
      </c>
      <c r="F557" s="4" t="s">
        <v>35</v>
      </c>
      <c r="G557" s="4" t="s">
        <v>62</v>
      </c>
      <c r="H557" s="6" t="s">
        <v>11</v>
      </c>
    </row>
    <row r="558" spans="1:8" x14ac:dyDescent="0.25">
      <c r="A558" s="4" t="s">
        <v>82</v>
      </c>
      <c r="B558" s="4" t="s">
        <v>38</v>
      </c>
      <c r="C558" s="5">
        <v>32.32</v>
      </c>
      <c r="D558" s="5">
        <v>16.010000000000002</v>
      </c>
      <c r="F558" s="4" t="s">
        <v>59</v>
      </c>
      <c r="G558" s="4" t="s">
        <v>83</v>
      </c>
      <c r="H558" s="6" t="s">
        <v>11</v>
      </c>
    </row>
    <row r="559" spans="1:8" x14ac:dyDescent="0.25">
      <c r="A559" s="4" t="s">
        <v>97</v>
      </c>
      <c r="B559" s="4" t="s">
        <v>38</v>
      </c>
      <c r="D559" s="5">
        <v>50</v>
      </c>
      <c r="E559" s="5">
        <v>-0.93</v>
      </c>
      <c r="F559" s="4" t="s">
        <v>9</v>
      </c>
      <c r="G559" s="4" t="s">
        <v>98</v>
      </c>
      <c r="H559" s="6" t="s">
        <v>11</v>
      </c>
    </row>
    <row r="560" spans="1:8" x14ac:dyDescent="0.25">
      <c r="A560" s="4" t="s">
        <v>134</v>
      </c>
      <c r="B560" s="4" t="s">
        <v>38</v>
      </c>
      <c r="D560" s="5">
        <v>23.47</v>
      </c>
      <c r="F560" s="4" t="s">
        <v>35</v>
      </c>
      <c r="G560" s="4" t="s">
        <v>135</v>
      </c>
      <c r="H560" s="6" t="s">
        <v>11</v>
      </c>
    </row>
    <row r="561" spans="1:8" x14ac:dyDescent="0.25">
      <c r="A561" s="4" t="s">
        <v>138</v>
      </c>
      <c r="B561" s="4" t="s">
        <v>38</v>
      </c>
      <c r="D561" s="5">
        <v>66.31</v>
      </c>
      <c r="F561" s="4" t="s">
        <v>35</v>
      </c>
      <c r="G561" s="4" t="s">
        <v>139</v>
      </c>
      <c r="H561" s="6" t="s">
        <v>11</v>
      </c>
    </row>
    <row r="562" spans="1:8" x14ac:dyDescent="0.25">
      <c r="A562" s="4" t="s">
        <v>146</v>
      </c>
      <c r="B562" s="4" t="s">
        <v>38</v>
      </c>
      <c r="D562" s="5">
        <v>9.14</v>
      </c>
      <c r="E562" s="5">
        <v>0.35</v>
      </c>
      <c r="F562" s="4" t="s">
        <v>35</v>
      </c>
      <c r="G562" s="4" t="s">
        <v>147</v>
      </c>
      <c r="H562" s="6" t="s">
        <v>11</v>
      </c>
    </row>
    <row r="563" spans="1:8" x14ac:dyDescent="0.25">
      <c r="A563" s="4" t="str">
        <f>"AMORA CONGELADA - ESTOQUE TAP "</f>
        <v xml:space="preserve">AMORA CONGELADA - ESTOQUE TAP </v>
      </c>
      <c r="B563" s="4" t="s">
        <v>38</v>
      </c>
      <c r="D563" s="5">
        <v>41.27</v>
      </c>
      <c r="F563" s="4" t="s">
        <v>35</v>
      </c>
      <c r="G563" s="4" t="s">
        <v>148</v>
      </c>
      <c r="H563" s="6" t="s">
        <v>11</v>
      </c>
    </row>
    <row r="564" spans="1:8" x14ac:dyDescent="0.25">
      <c r="A564" s="4" t="s">
        <v>152</v>
      </c>
      <c r="B564" s="4" t="s">
        <v>38</v>
      </c>
      <c r="D564" s="5">
        <v>128.97999999999999</v>
      </c>
      <c r="F564" s="4" t="s">
        <v>35</v>
      </c>
      <c r="G564" s="4" t="s">
        <v>153</v>
      </c>
      <c r="H564" s="6" t="s">
        <v>11</v>
      </c>
    </row>
    <row r="565" spans="1:8" x14ac:dyDescent="0.25">
      <c r="A565" s="4" t="s">
        <v>239</v>
      </c>
      <c r="B565" s="4" t="s">
        <v>38</v>
      </c>
      <c r="D565" s="5">
        <v>54</v>
      </c>
      <c r="F565" s="4" t="s">
        <v>35</v>
      </c>
      <c r="G565" s="4" t="s">
        <v>240</v>
      </c>
      <c r="H565" s="6" t="s">
        <v>11</v>
      </c>
    </row>
    <row r="566" spans="1:8" x14ac:dyDescent="0.25">
      <c r="A566" s="4" t="s">
        <v>271</v>
      </c>
      <c r="B566" s="4" t="s">
        <v>38</v>
      </c>
      <c r="D566" s="5">
        <v>60</v>
      </c>
      <c r="F566" s="4" t="s">
        <v>9</v>
      </c>
      <c r="G566" s="4" t="s">
        <v>272</v>
      </c>
      <c r="H566" s="6" t="s">
        <v>11</v>
      </c>
    </row>
    <row r="567" spans="1:8" x14ac:dyDescent="0.25">
      <c r="A567" s="4" t="s">
        <v>324</v>
      </c>
      <c r="B567" s="4" t="s">
        <v>38</v>
      </c>
      <c r="D567" s="5">
        <v>881.44</v>
      </c>
      <c r="E567" s="5">
        <v>0.4</v>
      </c>
      <c r="F567" s="4" t="s">
        <v>59</v>
      </c>
      <c r="G567" s="4" t="s">
        <v>325</v>
      </c>
      <c r="H567" s="6" t="s">
        <v>11</v>
      </c>
    </row>
    <row r="568" spans="1:8" x14ac:dyDescent="0.25">
      <c r="A568" s="4" t="s">
        <v>326</v>
      </c>
      <c r="B568" s="4" t="s">
        <v>38</v>
      </c>
      <c r="D568" s="5">
        <v>936.16</v>
      </c>
      <c r="F568" s="4" t="s">
        <v>59</v>
      </c>
      <c r="G568" s="4" t="s">
        <v>327</v>
      </c>
      <c r="H568" s="6" t="s">
        <v>11</v>
      </c>
    </row>
    <row r="569" spans="1:8" x14ac:dyDescent="0.25">
      <c r="A569" s="4" t="s">
        <v>428</v>
      </c>
      <c r="B569" s="4" t="s">
        <v>38</v>
      </c>
      <c r="D569" s="5">
        <v>25</v>
      </c>
      <c r="F569" s="4" t="s">
        <v>35</v>
      </c>
      <c r="G569" s="4" t="s">
        <v>429</v>
      </c>
      <c r="H569" s="6" t="s">
        <v>11</v>
      </c>
    </row>
    <row r="570" spans="1:8" x14ac:dyDescent="0.25">
      <c r="A570" s="4" t="s">
        <v>448</v>
      </c>
      <c r="B570" s="4" t="s">
        <v>38</v>
      </c>
      <c r="D570" s="5">
        <v>74.95</v>
      </c>
      <c r="F570" s="4" t="s">
        <v>35</v>
      </c>
      <c r="G570" s="4" t="s">
        <v>449</v>
      </c>
      <c r="H570" s="6" t="s">
        <v>11</v>
      </c>
    </row>
    <row r="571" spans="1:8" x14ac:dyDescent="0.25">
      <c r="A571" s="4" t="str">
        <f>"CAFE ESPRESSO - TAP "</f>
        <v xml:space="preserve">CAFE ESPRESSO - TAP </v>
      </c>
      <c r="B571" s="4" t="s">
        <v>38</v>
      </c>
      <c r="D571" s="5">
        <v>9.25</v>
      </c>
      <c r="F571" s="4" t="s">
        <v>59</v>
      </c>
      <c r="G571" s="4" t="s">
        <v>450</v>
      </c>
      <c r="H571" s="6" t="s">
        <v>11</v>
      </c>
    </row>
    <row r="572" spans="1:8" x14ac:dyDescent="0.25">
      <c r="A572" s="4" t="str">
        <f>"CAJU - ESTOQUE TAP "</f>
        <v xml:space="preserve">CAJU - ESTOQUE TAP </v>
      </c>
      <c r="B572" s="4" t="s">
        <v>38</v>
      </c>
      <c r="D572" s="5">
        <v>45.17</v>
      </c>
      <c r="F572" s="4" t="s">
        <v>9</v>
      </c>
      <c r="G572" s="4" t="s">
        <v>480</v>
      </c>
      <c r="H572" s="6" t="s">
        <v>11</v>
      </c>
    </row>
    <row r="573" spans="1:8" x14ac:dyDescent="0.25">
      <c r="A573" s="4" t="s">
        <v>652</v>
      </c>
      <c r="B573" s="4" t="s">
        <v>38</v>
      </c>
      <c r="D573" s="5">
        <v>53</v>
      </c>
      <c r="E573" s="5">
        <v>1</v>
      </c>
      <c r="F573" s="4" t="s">
        <v>35</v>
      </c>
      <c r="G573" s="4" t="s">
        <v>653</v>
      </c>
      <c r="H573" s="6" t="s">
        <v>11</v>
      </c>
    </row>
    <row r="574" spans="1:8" x14ac:dyDescent="0.25">
      <c r="A574" s="4" t="s">
        <v>654</v>
      </c>
      <c r="B574" s="4" t="s">
        <v>38</v>
      </c>
      <c r="D574" s="5">
        <v>81</v>
      </c>
      <c r="F574" s="4" t="s">
        <v>35</v>
      </c>
      <c r="G574" s="4" t="s">
        <v>655</v>
      </c>
      <c r="H574" s="6" t="s">
        <v>11</v>
      </c>
    </row>
    <row r="575" spans="1:8" x14ac:dyDescent="0.25">
      <c r="A575" s="4" t="str">
        <f>"CARDAMOMO SEMENTES - ESTOQUE TAP "</f>
        <v xml:space="preserve">CARDAMOMO SEMENTES - ESTOQUE TAP </v>
      </c>
      <c r="B575" s="4" t="s">
        <v>38</v>
      </c>
      <c r="D575" s="5">
        <v>550</v>
      </c>
      <c r="F575" s="4" t="s">
        <v>35</v>
      </c>
      <c r="G575" s="4" t="s">
        <v>677</v>
      </c>
      <c r="H575" s="6" t="s">
        <v>11</v>
      </c>
    </row>
    <row r="576" spans="1:8" x14ac:dyDescent="0.25">
      <c r="A576" s="4" t="str">
        <f>"CEREJA - ESTOQUE TAP "</f>
        <v xml:space="preserve">CEREJA - ESTOQUE TAP </v>
      </c>
      <c r="B576" s="4" t="s">
        <v>38</v>
      </c>
      <c r="D576" s="5">
        <v>91.36</v>
      </c>
      <c r="F576" s="4" t="s">
        <v>35</v>
      </c>
      <c r="G576" s="4" t="s">
        <v>732</v>
      </c>
      <c r="H576" s="6" t="s">
        <v>11</v>
      </c>
    </row>
    <row r="577" spans="1:8" x14ac:dyDescent="0.25">
      <c r="A577" s="4" t="s">
        <v>733</v>
      </c>
      <c r="B577" s="4" t="s">
        <v>38</v>
      </c>
      <c r="D577" s="5">
        <v>98.33</v>
      </c>
      <c r="F577" s="4" t="s">
        <v>35</v>
      </c>
      <c r="G577" s="4" t="s">
        <v>734</v>
      </c>
      <c r="H577" s="6" t="s">
        <v>11</v>
      </c>
    </row>
    <row r="578" spans="1:8" x14ac:dyDescent="0.25">
      <c r="A578" s="4" t="str">
        <f>"CHA DE FRUTAS VERMELHAS INSUMO - TAP "</f>
        <v xml:space="preserve">CHA DE FRUTAS VERMELHAS INSUMO - TAP </v>
      </c>
      <c r="B578" s="4" t="s">
        <v>38</v>
      </c>
      <c r="D578" s="5">
        <v>18.5</v>
      </c>
      <c r="F578" s="4" t="s">
        <v>59</v>
      </c>
      <c r="G578" s="4" t="s">
        <v>795</v>
      </c>
      <c r="H578" s="6" t="s">
        <v>11</v>
      </c>
    </row>
    <row r="579" spans="1:8" x14ac:dyDescent="0.25">
      <c r="A579" s="4" t="str">
        <f>"CHA HORTELA - ESTOQUE TAP "</f>
        <v xml:space="preserve">CHA HORTELA - ESTOQUE TAP </v>
      </c>
      <c r="B579" s="4" t="s">
        <v>38</v>
      </c>
      <c r="D579" s="5">
        <v>8.2799999999999994</v>
      </c>
      <c r="F579" s="4" t="s">
        <v>9</v>
      </c>
      <c r="G579" s="4" t="s">
        <v>796</v>
      </c>
      <c r="H579" s="6" t="s">
        <v>11</v>
      </c>
    </row>
    <row r="580" spans="1:8" x14ac:dyDescent="0.25">
      <c r="A580" s="4" t="str">
        <f>"CHA INGLES TWININGS - ESTOQUE TAP "</f>
        <v xml:space="preserve">CHA INGLES TWININGS - ESTOQUE TAP </v>
      </c>
      <c r="B580" s="4" t="s">
        <v>38</v>
      </c>
      <c r="D580" s="5">
        <v>22.9</v>
      </c>
      <c r="F580" s="4" t="s">
        <v>9</v>
      </c>
      <c r="G580" s="4" t="s">
        <v>797</v>
      </c>
      <c r="H580" s="6" t="s">
        <v>11</v>
      </c>
    </row>
    <row r="581" spans="1:8" x14ac:dyDescent="0.25">
      <c r="A581" s="4" t="str">
        <f>"CHA MACA COM CANELA - ESTOQUE TAP "</f>
        <v xml:space="preserve">CHA MACA COM CANELA - ESTOQUE TAP </v>
      </c>
      <c r="B581" s="4" t="s">
        <v>38</v>
      </c>
      <c r="D581" s="5">
        <v>8</v>
      </c>
      <c r="F581" s="4" t="s">
        <v>9</v>
      </c>
      <c r="G581" s="4" t="s">
        <v>798</v>
      </c>
      <c r="H581" s="6" t="s">
        <v>11</v>
      </c>
    </row>
    <row r="582" spans="1:8" x14ac:dyDescent="0.25">
      <c r="A582" s="4" t="s">
        <v>799</v>
      </c>
      <c r="B582" s="4" t="s">
        <v>38</v>
      </c>
      <c r="D582" s="5">
        <v>1.42</v>
      </c>
      <c r="F582" s="4" t="s">
        <v>9</v>
      </c>
      <c r="G582" s="4" t="s">
        <v>800</v>
      </c>
      <c r="H582" s="6" t="s">
        <v>11</v>
      </c>
    </row>
    <row r="583" spans="1:8" x14ac:dyDescent="0.25">
      <c r="A583" s="4" t="s">
        <v>801</v>
      </c>
      <c r="B583" s="4" t="s">
        <v>38</v>
      </c>
      <c r="D583" s="5">
        <v>14.9</v>
      </c>
      <c r="F583" s="4" t="s">
        <v>9</v>
      </c>
      <c r="G583" s="4" t="s">
        <v>802</v>
      </c>
      <c r="H583" s="6" t="s">
        <v>11</v>
      </c>
    </row>
    <row r="584" spans="1:8" x14ac:dyDescent="0.25">
      <c r="A584" s="4" t="s">
        <v>803</v>
      </c>
      <c r="B584" s="4" t="s">
        <v>38</v>
      </c>
      <c r="D584" s="5">
        <v>1.85</v>
      </c>
      <c r="E584" s="5">
        <v>30</v>
      </c>
      <c r="F584" s="4" t="s">
        <v>9</v>
      </c>
      <c r="G584" s="4" t="s">
        <v>804</v>
      </c>
      <c r="H584" s="6" t="s">
        <v>11</v>
      </c>
    </row>
    <row r="585" spans="1:8" x14ac:dyDescent="0.25">
      <c r="A585" s="4" t="str">
        <f>"CHA TWININGS LARANJA E MANGA E CANELA - ESTOQUE TAP "</f>
        <v xml:space="preserve">CHA TWININGS LARANJA E MANGA E CANELA - ESTOQUE TAP </v>
      </c>
      <c r="B585" s="4" t="s">
        <v>38</v>
      </c>
      <c r="D585" s="5">
        <v>2.2999999999999998</v>
      </c>
      <c r="F585" s="4" t="s">
        <v>9</v>
      </c>
      <c r="G585" s="4" t="s">
        <v>805</v>
      </c>
      <c r="H585" s="6" t="s">
        <v>11</v>
      </c>
    </row>
    <row r="586" spans="1:8" x14ac:dyDescent="0.25">
      <c r="A586" s="4" t="str">
        <f>"CHA TWININGS LIMAO FRAMBOESA - ESTOQUE TAP "</f>
        <v xml:space="preserve">CHA TWININGS LIMAO FRAMBOESA - ESTOQUE TAP </v>
      </c>
      <c r="B586" s="4" t="s">
        <v>38</v>
      </c>
      <c r="D586" s="5">
        <v>2.5</v>
      </c>
      <c r="F586" s="4" t="s">
        <v>9</v>
      </c>
      <c r="G586" s="4" t="s">
        <v>806</v>
      </c>
      <c r="H586" s="6" t="s">
        <v>11</v>
      </c>
    </row>
    <row r="587" spans="1:8" x14ac:dyDescent="0.25">
      <c r="A587" s="4" t="s">
        <v>807</v>
      </c>
      <c r="B587" s="4" t="s">
        <v>38</v>
      </c>
      <c r="D587" s="5">
        <v>2.41</v>
      </c>
      <c r="F587" s="4" t="s">
        <v>9</v>
      </c>
      <c r="G587" s="4" t="s">
        <v>808</v>
      </c>
      <c r="H587" s="6" t="s">
        <v>11</v>
      </c>
    </row>
    <row r="588" spans="1:8" x14ac:dyDescent="0.25">
      <c r="A588" s="4" t="s">
        <v>869</v>
      </c>
      <c r="B588" s="4" t="s">
        <v>38</v>
      </c>
      <c r="D588" s="5">
        <v>42.89</v>
      </c>
      <c r="F588" s="4" t="s">
        <v>35</v>
      </c>
      <c r="G588" s="4" t="s">
        <v>870</v>
      </c>
      <c r="H588" s="6" t="s">
        <v>11</v>
      </c>
    </row>
    <row r="589" spans="1:8" x14ac:dyDescent="0.25">
      <c r="A589" s="4" t="str">
        <f>"CHOCOLATE MEIO AMARGO "</f>
        <v xml:space="preserve">CHOCOLATE MEIO AMARGO </v>
      </c>
      <c r="B589" s="4" t="s">
        <v>38</v>
      </c>
      <c r="D589" s="5">
        <v>46.41</v>
      </c>
      <c r="F589" s="4" t="s">
        <v>35</v>
      </c>
      <c r="G589" s="4" t="s">
        <v>873</v>
      </c>
      <c r="H589" s="6" t="s">
        <v>11</v>
      </c>
    </row>
    <row r="590" spans="1:8" x14ac:dyDescent="0.25">
      <c r="A590" s="4" t="s">
        <v>2267</v>
      </c>
      <c r="B590" s="4" t="s">
        <v>38</v>
      </c>
      <c r="C590" s="5">
        <v>37.200000000000003</v>
      </c>
      <c r="D590" s="5">
        <v>18.600000000000001</v>
      </c>
      <c r="F590" s="4" t="s">
        <v>59</v>
      </c>
      <c r="G590" s="4" t="s">
        <v>2268</v>
      </c>
      <c r="H590" s="6" t="s">
        <v>11</v>
      </c>
    </row>
    <row r="591" spans="1:8" x14ac:dyDescent="0.25">
      <c r="A591" s="4" t="s">
        <v>2327</v>
      </c>
      <c r="B591" s="4" t="s">
        <v>38</v>
      </c>
      <c r="F591" s="4" t="s">
        <v>9</v>
      </c>
      <c r="G591" s="4" t="s">
        <v>2328</v>
      </c>
      <c r="H591" s="6" t="s">
        <v>11</v>
      </c>
    </row>
    <row r="592" spans="1:8" x14ac:dyDescent="0.25">
      <c r="A592" s="4" t="str">
        <f>"COULIS DE MORANGO INSUMO - TAP "</f>
        <v xml:space="preserve">COULIS DE MORANGO INSUMO - TAP </v>
      </c>
      <c r="B592" s="4" t="s">
        <v>38</v>
      </c>
      <c r="D592" s="5">
        <v>32.44</v>
      </c>
      <c r="F592" s="4" t="s">
        <v>59</v>
      </c>
      <c r="G592" s="4" t="s">
        <v>2406</v>
      </c>
      <c r="H592" s="6" t="s">
        <v>11</v>
      </c>
    </row>
    <row r="593" spans="1:8" x14ac:dyDescent="0.25">
      <c r="A593" s="4" t="s">
        <v>2415</v>
      </c>
      <c r="B593" s="4" t="s">
        <v>38</v>
      </c>
      <c r="D593" s="5">
        <v>130.44</v>
      </c>
      <c r="F593" s="4" t="s">
        <v>35</v>
      </c>
      <c r="G593" s="4" t="s">
        <v>2416</v>
      </c>
      <c r="H593" s="6" t="s">
        <v>11</v>
      </c>
    </row>
    <row r="594" spans="1:8" x14ac:dyDescent="0.25">
      <c r="A594" s="4" t="s">
        <v>2419</v>
      </c>
      <c r="B594" s="4" t="s">
        <v>38</v>
      </c>
      <c r="D594" s="5">
        <v>21.07</v>
      </c>
      <c r="F594" s="4" t="s">
        <v>35</v>
      </c>
      <c r="G594" s="4" t="s">
        <v>2420</v>
      </c>
      <c r="H594" s="6" t="s">
        <v>11</v>
      </c>
    </row>
    <row r="595" spans="1:8" x14ac:dyDescent="0.25">
      <c r="A595" s="4" t="s">
        <v>2427</v>
      </c>
      <c r="B595" s="4" t="s">
        <v>38</v>
      </c>
      <c r="D595" s="5">
        <v>41.29</v>
      </c>
      <c r="F595" s="4" t="s">
        <v>35</v>
      </c>
      <c r="G595" s="4" t="s">
        <v>2428</v>
      </c>
      <c r="H595" s="6" t="s">
        <v>11</v>
      </c>
    </row>
    <row r="596" spans="1:8" x14ac:dyDescent="0.25">
      <c r="A596" s="4" t="s">
        <v>2769</v>
      </c>
      <c r="B596" s="4" t="s">
        <v>38</v>
      </c>
      <c r="F596" s="4" t="s">
        <v>9</v>
      </c>
      <c r="G596" s="4" t="s">
        <v>2770</v>
      </c>
      <c r="H596" s="6" t="s">
        <v>11</v>
      </c>
    </row>
    <row r="597" spans="1:8" x14ac:dyDescent="0.25">
      <c r="A597" s="4" t="s">
        <v>2781</v>
      </c>
      <c r="B597" s="4" t="s">
        <v>38</v>
      </c>
      <c r="D597" s="5">
        <v>87.16</v>
      </c>
      <c r="F597" s="4" t="s">
        <v>35</v>
      </c>
      <c r="G597" s="4" t="s">
        <v>2782</v>
      </c>
      <c r="H597" s="6" t="s">
        <v>11</v>
      </c>
    </row>
    <row r="598" spans="1:8" x14ac:dyDescent="0.25">
      <c r="A598" s="4" t="s">
        <v>2783</v>
      </c>
      <c r="B598" s="4" t="s">
        <v>38</v>
      </c>
      <c r="D598" s="5">
        <v>76.45</v>
      </c>
      <c r="F598" s="4" t="s">
        <v>35</v>
      </c>
      <c r="G598" s="4" t="s">
        <v>2784</v>
      </c>
      <c r="H598" s="6" t="s">
        <v>11</v>
      </c>
    </row>
    <row r="599" spans="1:8" x14ac:dyDescent="0.25">
      <c r="A599" s="4" t="s">
        <v>2914</v>
      </c>
      <c r="B599" s="4" t="s">
        <v>38</v>
      </c>
      <c r="D599" s="5">
        <v>8.3800000000000008</v>
      </c>
      <c r="F599" s="4" t="s">
        <v>59</v>
      </c>
      <c r="G599" s="4" t="s">
        <v>2915</v>
      </c>
      <c r="H599" s="6" t="s">
        <v>11</v>
      </c>
    </row>
    <row r="600" spans="1:8" x14ac:dyDescent="0.25">
      <c r="A600" s="4" t="s">
        <v>2925</v>
      </c>
      <c r="B600" s="4" t="s">
        <v>38</v>
      </c>
      <c r="D600" s="5">
        <v>12.09</v>
      </c>
      <c r="F600" s="4" t="s">
        <v>59</v>
      </c>
      <c r="G600" s="4" t="s">
        <v>2926</v>
      </c>
      <c r="H600" s="6" t="s">
        <v>11</v>
      </c>
    </row>
    <row r="601" spans="1:8" x14ac:dyDescent="0.25">
      <c r="A601" s="4" t="s">
        <v>2927</v>
      </c>
      <c r="B601" s="4" t="s">
        <v>38</v>
      </c>
      <c r="D601" s="5">
        <v>12.09</v>
      </c>
      <c r="F601" s="4" t="s">
        <v>59</v>
      </c>
      <c r="G601" s="4" t="s">
        <v>2928</v>
      </c>
      <c r="H601" s="6" t="s">
        <v>11</v>
      </c>
    </row>
    <row r="602" spans="1:8" x14ac:dyDescent="0.25">
      <c r="A602" s="4" t="s">
        <v>2929</v>
      </c>
      <c r="B602" s="4" t="s">
        <v>38</v>
      </c>
      <c r="D602" s="5">
        <v>12.09</v>
      </c>
      <c r="F602" s="4" t="s">
        <v>59</v>
      </c>
      <c r="G602" s="4" t="s">
        <v>2930</v>
      </c>
      <c r="H602" s="6" t="s">
        <v>11</v>
      </c>
    </row>
    <row r="603" spans="1:8" x14ac:dyDescent="0.25">
      <c r="A603" s="4" t="str">
        <f>"ESPUMANTE SALTON SERIES BRUT - ESTOQUE TAP "</f>
        <v xml:space="preserve">ESPUMANTE SALTON SERIES BRUT - ESTOQUE TAP </v>
      </c>
      <c r="B603" s="4" t="s">
        <v>38</v>
      </c>
      <c r="D603" s="5">
        <v>12.09</v>
      </c>
      <c r="F603" s="4" t="s">
        <v>59</v>
      </c>
      <c r="G603" s="4" t="s">
        <v>2931</v>
      </c>
      <c r="H603" s="6" t="s">
        <v>11</v>
      </c>
    </row>
    <row r="604" spans="1:8" x14ac:dyDescent="0.25">
      <c r="A604" s="4" t="s">
        <v>3025</v>
      </c>
      <c r="B604" s="4" t="s">
        <v>38</v>
      </c>
      <c r="F604" s="4" t="s">
        <v>35</v>
      </c>
      <c r="G604" s="4" t="s">
        <v>3026</v>
      </c>
      <c r="H604" s="6" t="s">
        <v>11</v>
      </c>
    </row>
    <row r="605" spans="1:8" x14ac:dyDescent="0.25">
      <c r="A605" s="4" t="str">
        <f>"FLOR ROSA - ESTOQUE TAP "</f>
        <v xml:space="preserve">FLOR ROSA - ESTOQUE TAP </v>
      </c>
      <c r="B605" s="4" t="s">
        <v>38</v>
      </c>
      <c r="D605" s="5">
        <v>19.43</v>
      </c>
      <c r="F605" s="4" t="s">
        <v>35</v>
      </c>
      <c r="G605" s="4" t="s">
        <v>3029</v>
      </c>
      <c r="H605" s="6" t="s">
        <v>11</v>
      </c>
    </row>
    <row r="606" spans="1:8" x14ac:dyDescent="0.25">
      <c r="A606" s="4" t="str">
        <f>"FRAMBOESA - ESTOQUE TAP "</f>
        <v xml:space="preserve">FRAMBOESA - ESTOQUE TAP </v>
      </c>
      <c r="B606" s="4" t="s">
        <v>38</v>
      </c>
      <c r="D606" s="5">
        <v>85</v>
      </c>
      <c r="F606" s="4" t="s">
        <v>35</v>
      </c>
      <c r="G606" s="4" t="s">
        <v>3032</v>
      </c>
      <c r="H606" s="6" t="s">
        <v>11</v>
      </c>
    </row>
    <row r="607" spans="1:8" x14ac:dyDescent="0.25">
      <c r="A607" s="4" t="s">
        <v>3033</v>
      </c>
      <c r="B607" s="4" t="s">
        <v>38</v>
      </c>
      <c r="D607" s="5">
        <v>78.92</v>
      </c>
      <c r="F607" s="4" t="s">
        <v>35</v>
      </c>
      <c r="G607" s="4" t="s">
        <v>3034</v>
      </c>
      <c r="H607" s="6" t="s">
        <v>11</v>
      </c>
    </row>
    <row r="608" spans="1:8" x14ac:dyDescent="0.25">
      <c r="A608" s="4" t="s">
        <v>3041</v>
      </c>
      <c r="B608" s="4" t="s">
        <v>38</v>
      </c>
      <c r="D608" s="5">
        <v>19.329999999999998</v>
      </c>
      <c r="F608" s="4" t="s">
        <v>35</v>
      </c>
      <c r="G608" s="4" t="s">
        <v>3042</v>
      </c>
      <c r="H608" s="6" t="s">
        <v>11</v>
      </c>
    </row>
    <row r="609" spans="1:8" x14ac:dyDescent="0.25">
      <c r="A609" s="4" t="str">
        <f>"GELATINA SEM SABOR - ESTOQUE TAP "</f>
        <v xml:space="preserve">GELATINA SEM SABOR - ESTOQUE TAP </v>
      </c>
      <c r="B609" s="4" t="s">
        <v>38</v>
      </c>
      <c r="D609" s="5">
        <v>44.99</v>
      </c>
      <c r="F609" s="4" t="s">
        <v>35</v>
      </c>
      <c r="G609" s="4" t="s">
        <v>3093</v>
      </c>
      <c r="H609" s="6" t="s">
        <v>11</v>
      </c>
    </row>
    <row r="610" spans="1:8" x14ac:dyDescent="0.25">
      <c r="A610" s="4" t="s">
        <v>3102</v>
      </c>
      <c r="B610" s="4" t="s">
        <v>38</v>
      </c>
      <c r="D610" s="5">
        <v>13.8</v>
      </c>
      <c r="E610" s="5">
        <v>157</v>
      </c>
      <c r="F610" s="4" t="s">
        <v>9</v>
      </c>
      <c r="G610" s="4" t="s">
        <v>3103</v>
      </c>
      <c r="H610" s="6" t="s">
        <v>11</v>
      </c>
    </row>
    <row r="611" spans="1:8" x14ac:dyDescent="0.25">
      <c r="A611" s="4" t="str">
        <f>"GELO CUBO - ESTOQUE TAP "</f>
        <v xml:space="preserve">GELO CUBO - ESTOQUE TAP </v>
      </c>
      <c r="B611" s="4" t="s">
        <v>38</v>
      </c>
      <c r="D611" s="5">
        <v>2.6</v>
      </c>
      <c r="E611" s="5">
        <v>405</v>
      </c>
      <c r="F611" s="4" t="s">
        <v>9</v>
      </c>
      <c r="G611" s="4" t="s">
        <v>3106</v>
      </c>
      <c r="H611" s="6" t="s">
        <v>11</v>
      </c>
    </row>
    <row r="612" spans="1:8" x14ac:dyDescent="0.25">
      <c r="A612" s="4" t="str">
        <f>"GELO ESFERA - ESTOQUE TAP "</f>
        <v xml:space="preserve">GELO ESFERA - ESTOQUE TAP </v>
      </c>
      <c r="B612" s="4" t="s">
        <v>38</v>
      </c>
      <c r="D612" s="5">
        <v>4.0999999999999996</v>
      </c>
      <c r="F612" s="4" t="s">
        <v>9</v>
      </c>
      <c r="G612" s="4" t="s">
        <v>3107</v>
      </c>
      <c r="H612" s="6" t="s">
        <v>11</v>
      </c>
    </row>
    <row r="613" spans="1:8" x14ac:dyDescent="0.25">
      <c r="A613" s="4" t="str">
        <f>"GENGIBRE CRISTALIZADO EM PEDACOS - ESTOQUE TAP "</f>
        <v xml:space="preserve">GENGIBRE CRISTALIZADO EM PEDACOS - ESTOQUE TAP </v>
      </c>
      <c r="B613" s="4" t="s">
        <v>38</v>
      </c>
      <c r="D613" s="5">
        <v>105.01</v>
      </c>
      <c r="F613" s="4" t="s">
        <v>35</v>
      </c>
      <c r="G613" s="4" t="s">
        <v>3110</v>
      </c>
      <c r="H613" s="6" t="s">
        <v>11</v>
      </c>
    </row>
    <row r="614" spans="1:8" x14ac:dyDescent="0.25">
      <c r="A614" s="4" t="s">
        <v>3111</v>
      </c>
      <c r="B614" s="4" t="s">
        <v>38</v>
      </c>
      <c r="D614" s="5">
        <v>81.94</v>
      </c>
      <c r="F614" s="4" t="s">
        <v>35</v>
      </c>
      <c r="G614" s="4" t="s">
        <v>3112</v>
      </c>
      <c r="H614" s="6" t="s">
        <v>11</v>
      </c>
    </row>
    <row r="615" spans="1:8" x14ac:dyDescent="0.25">
      <c r="A615" s="4" t="s">
        <v>3129</v>
      </c>
      <c r="B615" s="4" t="s">
        <v>38</v>
      </c>
      <c r="D615" s="5">
        <v>99.45</v>
      </c>
      <c r="F615" s="4" t="s">
        <v>59</v>
      </c>
      <c r="G615" s="4" t="s">
        <v>3130</v>
      </c>
      <c r="H615" s="6" t="s">
        <v>11</v>
      </c>
    </row>
    <row r="616" spans="1:8" x14ac:dyDescent="0.25">
      <c r="A616" s="4" t="s">
        <v>3196</v>
      </c>
      <c r="B616" s="4" t="s">
        <v>38</v>
      </c>
      <c r="D616" s="5">
        <v>65</v>
      </c>
      <c r="E616" s="5">
        <v>-27.6708</v>
      </c>
      <c r="F616" s="4" t="s">
        <v>35</v>
      </c>
      <c r="G616" s="4" t="s">
        <v>3197</v>
      </c>
      <c r="H616" s="6" t="s">
        <v>11</v>
      </c>
    </row>
    <row r="617" spans="1:8" x14ac:dyDescent="0.25">
      <c r="A617" s="4" t="s">
        <v>3212</v>
      </c>
      <c r="B617" s="4" t="s">
        <v>38</v>
      </c>
      <c r="D617" s="5">
        <v>32.08</v>
      </c>
      <c r="F617" s="4" t="s">
        <v>59</v>
      </c>
      <c r="G617" s="4" t="s">
        <v>3213</v>
      </c>
      <c r="H617" s="6" t="s">
        <v>11</v>
      </c>
    </row>
    <row r="618" spans="1:8" x14ac:dyDescent="0.25">
      <c r="A618" s="4" t="s">
        <v>3214</v>
      </c>
      <c r="B618" s="4" t="s">
        <v>38</v>
      </c>
      <c r="D618" s="5">
        <v>5.17</v>
      </c>
      <c r="E618" s="5">
        <v>6.46</v>
      </c>
      <c r="F618" s="4" t="s">
        <v>35</v>
      </c>
      <c r="G618" s="4" t="s">
        <v>3215</v>
      </c>
      <c r="H618" s="6" t="s">
        <v>11</v>
      </c>
    </row>
    <row r="619" spans="1:8" x14ac:dyDescent="0.25">
      <c r="A619" s="4" t="str">
        <f>"JACA - ESTOQUE TAP "</f>
        <v xml:space="preserve">JACA - ESTOQUE TAP </v>
      </c>
      <c r="B619" s="4" t="s">
        <v>38</v>
      </c>
      <c r="D619" s="5">
        <v>16</v>
      </c>
      <c r="F619" s="4" t="s">
        <v>35</v>
      </c>
      <c r="G619" s="4" t="s">
        <v>3225</v>
      </c>
      <c r="H619" s="6" t="s">
        <v>11</v>
      </c>
    </row>
    <row r="620" spans="1:8" x14ac:dyDescent="0.25">
      <c r="A620" s="4" t="s">
        <v>3270</v>
      </c>
      <c r="B620" s="4" t="s">
        <v>38</v>
      </c>
      <c r="D620" s="5">
        <v>33</v>
      </c>
      <c r="F620" s="4" t="s">
        <v>59</v>
      </c>
      <c r="G620" s="4" t="s">
        <v>3271</v>
      </c>
      <c r="H620" s="6" t="s">
        <v>11</v>
      </c>
    </row>
    <row r="621" spans="1:8" x14ac:dyDescent="0.25">
      <c r="A621" s="4" t="s">
        <v>3272</v>
      </c>
      <c r="B621" s="4" t="s">
        <v>38</v>
      </c>
      <c r="D621" s="5">
        <v>10.52</v>
      </c>
      <c r="E621" s="5">
        <v>-0.17</v>
      </c>
      <c r="F621" s="4" t="s">
        <v>35</v>
      </c>
      <c r="G621" s="4" t="s">
        <v>3273</v>
      </c>
      <c r="H621" s="6" t="s">
        <v>11</v>
      </c>
    </row>
    <row r="622" spans="1:8" x14ac:dyDescent="0.25">
      <c r="A622" s="4" t="s">
        <v>3288</v>
      </c>
      <c r="B622" s="4" t="s">
        <v>38</v>
      </c>
      <c r="D622" s="5">
        <v>5.14</v>
      </c>
      <c r="F622" s="4" t="s">
        <v>9</v>
      </c>
      <c r="G622" s="4" t="s">
        <v>3289</v>
      </c>
      <c r="H622" s="6" t="s">
        <v>11</v>
      </c>
    </row>
    <row r="623" spans="1:8" x14ac:dyDescent="0.25">
      <c r="A623" s="4" t="str">
        <f>"LICOR DE CAFÉ SAN BASILE - ESTOQUE TAP "</f>
        <v xml:space="preserve">LICOR DE CAFÉ SAN BASILE - ESTOQUE TAP </v>
      </c>
      <c r="B623" s="4" t="s">
        <v>38</v>
      </c>
      <c r="D623" s="5">
        <v>82.99</v>
      </c>
      <c r="F623" s="4" t="s">
        <v>59</v>
      </c>
      <c r="G623" s="4" t="s">
        <v>3311</v>
      </c>
      <c r="H623" s="6" t="s">
        <v>11</v>
      </c>
    </row>
    <row r="624" spans="1:8" x14ac:dyDescent="0.25">
      <c r="A624" s="4" t="s">
        <v>3330</v>
      </c>
      <c r="B624" s="4" t="s">
        <v>38</v>
      </c>
      <c r="D624" s="5">
        <v>57.59</v>
      </c>
      <c r="F624" s="4" t="s">
        <v>35</v>
      </c>
      <c r="G624" s="4" t="s">
        <v>3331</v>
      </c>
      <c r="H624" s="6" t="s">
        <v>11</v>
      </c>
    </row>
    <row r="625" spans="1:8" x14ac:dyDescent="0.25">
      <c r="A625" s="4" t="s">
        <v>3332</v>
      </c>
      <c r="B625" s="4" t="s">
        <v>38</v>
      </c>
      <c r="C625" s="5">
        <v>120</v>
      </c>
      <c r="D625" s="5">
        <v>84.68</v>
      </c>
      <c r="F625" s="4" t="s">
        <v>35</v>
      </c>
      <c r="G625" s="4" t="s">
        <v>3333</v>
      </c>
      <c r="H625" s="6" t="s">
        <v>11</v>
      </c>
    </row>
    <row r="626" spans="1:8" x14ac:dyDescent="0.25">
      <c r="A626" s="4" t="s">
        <v>3334</v>
      </c>
      <c r="B626" s="4" t="s">
        <v>38</v>
      </c>
      <c r="D626" s="5">
        <v>11.98</v>
      </c>
      <c r="F626" s="4" t="s">
        <v>35</v>
      </c>
      <c r="G626" s="4" t="s">
        <v>3335</v>
      </c>
      <c r="H626" s="6" t="s">
        <v>11</v>
      </c>
    </row>
    <row r="627" spans="1:8" x14ac:dyDescent="0.25">
      <c r="A627" s="4" t="s">
        <v>3338</v>
      </c>
      <c r="B627" s="4" t="s">
        <v>38</v>
      </c>
      <c r="D627" s="5">
        <v>14.23</v>
      </c>
      <c r="F627" s="4" t="s">
        <v>35</v>
      </c>
      <c r="G627" s="4" t="s">
        <v>3339</v>
      </c>
      <c r="H627" s="6" t="s">
        <v>11</v>
      </c>
    </row>
    <row r="628" spans="1:8" x14ac:dyDescent="0.25">
      <c r="A628" s="4" t="s">
        <v>3390</v>
      </c>
      <c r="B628" s="4" t="s">
        <v>38</v>
      </c>
      <c r="D628" s="5">
        <v>3.2</v>
      </c>
      <c r="F628" s="4" t="s">
        <v>35</v>
      </c>
      <c r="G628" s="4" t="s">
        <v>3391</v>
      </c>
      <c r="H628" s="6" t="s">
        <v>11</v>
      </c>
    </row>
    <row r="629" spans="1:8" x14ac:dyDescent="0.25">
      <c r="A629" s="4" t="str">
        <f>"MANGA TOMMY - ESTOQUE TAP "</f>
        <v xml:space="preserve">MANGA TOMMY - ESTOQUE TAP </v>
      </c>
      <c r="B629" s="4" t="s">
        <v>38</v>
      </c>
      <c r="D629" s="5">
        <v>18.32</v>
      </c>
      <c r="F629" s="4" t="s">
        <v>35</v>
      </c>
      <c r="G629" s="4" t="s">
        <v>3433</v>
      </c>
      <c r="H629" s="6" t="s">
        <v>11</v>
      </c>
    </row>
    <row r="630" spans="1:8" x14ac:dyDescent="0.25">
      <c r="A630" s="4" t="s">
        <v>3446</v>
      </c>
      <c r="B630" s="4" t="s">
        <v>38</v>
      </c>
      <c r="F630" s="4" t="s">
        <v>9</v>
      </c>
      <c r="G630" s="4" t="s">
        <v>3447</v>
      </c>
      <c r="H630" s="6" t="s">
        <v>11</v>
      </c>
    </row>
    <row r="631" spans="1:8" x14ac:dyDescent="0.25">
      <c r="A631" s="4" t="s">
        <v>3448</v>
      </c>
      <c r="B631" s="4" t="s">
        <v>38</v>
      </c>
      <c r="D631" s="5">
        <v>13.69</v>
      </c>
      <c r="E631" s="5">
        <v>12</v>
      </c>
      <c r="F631" s="4" t="s">
        <v>35</v>
      </c>
      <c r="G631" s="4" t="s">
        <v>3449</v>
      </c>
      <c r="H631" s="6" t="s">
        <v>11</v>
      </c>
    </row>
    <row r="632" spans="1:8" x14ac:dyDescent="0.25">
      <c r="A632" s="4" t="s">
        <v>3455</v>
      </c>
      <c r="B632" s="4" t="s">
        <v>38</v>
      </c>
      <c r="F632" s="4" t="s">
        <v>35</v>
      </c>
      <c r="G632" s="4" t="s">
        <v>3456</v>
      </c>
      <c r="H632" s="6" t="s">
        <v>11</v>
      </c>
    </row>
    <row r="633" spans="1:8" x14ac:dyDescent="0.25">
      <c r="A633" s="4" t="s">
        <v>3483</v>
      </c>
      <c r="B633" s="4" t="s">
        <v>38</v>
      </c>
      <c r="D633" s="5">
        <v>38.9</v>
      </c>
      <c r="E633" s="5">
        <v>0.7661</v>
      </c>
      <c r="F633" s="4" t="s">
        <v>9</v>
      </c>
      <c r="G633" s="4" t="s">
        <v>3484</v>
      </c>
      <c r="H633" s="6" t="s">
        <v>11</v>
      </c>
    </row>
    <row r="634" spans="1:8" x14ac:dyDescent="0.25">
      <c r="A634" s="4" t="str">
        <f>"MEL SILVESTRE - ESTOQUE TAP "</f>
        <v xml:space="preserve">MEL SILVESTRE - ESTOQUE TAP </v>
      </c>
      <c r="B634" s="4" t="s">
        <v>38</v>
      </c>
      <c r="D634" s="5">
        <v>30</v>
      </c>
      <c r="F634" s="4" t="s">
        <v>9</v>
      </c>
      <c r="G634" s="4" t="s">
        <v>3485</v>
      </c>
      <c r="H634" s="6" t="s">
        <v>11</v>
      </c>
    </row>
    <row r="635" spans="1:8" x14ac:dyDescent="0.25">
      <c r="A635" s="4" t="s">
        <v>3488</v>
      </c>
      <c r="B635" s="4" t="s">
        <v>38</v>
      </c>
      <c r="D635" s="5">
        <v>4.97</v>
      </c>
      <c r="F635" s="4" t="s">
        <v>35</v>
      </c>
      <c r="G635" s="4" t="s">
        <v>3489</v>
      </c>
      <c r="H635" s="6" t="s">
        <v>11</v>
      </c>
    </row>
    <row r="636" spans="1:8" x14ac:dyDescent="0.25">
      <c r="A636" s="4" t="s">
        <v>3499</v>
      </c>
      <c r="B636" s="4" t="s">
        <v>38</v>
      </c>
      <c r="D636" s="5">
        <v>32.19</v>
      </c>
      <c r="F636" s="4" t="s">
        <v>35</v>
      </c>
      <c r="G636" s="4" t="s">
        <v>3500</v>
      </c>
      <c r="H636" s="6" t="s">
        <v>11</v>
      </c>
    </row>
    <row r="637" spans="1:8" x14ac:dyDescent="0.25">
      <c r="A637" s="4" t="s">
        <v>3502</v>
      </c>
      <c r="B637" s="4" t="s">
        <v>38</v>
      </c>
      <c r="C637" s="5">
        <v>44</v>
      </c>
      <c r="D637" s="5">
        <v>22</v>
      </c>
      <c r="F637" s="4" t="s">
        <v>9</v>
      </c>
      <c r="G637" s="4" t="s">
        <v>3503</v>
      </c>
      <c r="H637" s="6" t="s">
        <v>11</v>
      </c>
    </row>
    <row r="638" spans="1:8" x14ac:dyDescent="0.25">
      <c r="A638" s="4" t="s">
        <v>3514</v>
      </c>
      <c r="B638" s="4" t="s">
        <v>38</v>
      </c>
      <c r="F638" s="4" t="s">
        <v>9</v>
      </c>
      <c r="G638" s="4" t="s">
        <v>3515</v>
      </c>
      <c r="H638" s="6" t="s">
        <v>11</v>
      </c>
    </row>
    <row r="639" spans="1:8" x14ac:dyDescent="0.25">
      <c r="A639" s="4" t="str">
        <f>"NAVEIA "</f>
        <v xml:space="preserve">NAVEIA </v>
      </c>
      <c r="B639" s="4" t="s">
        <v>38</v>
      </c>
      <c r="D639" s="5">
        <v>18.39</v>
      </c>
      <c r="F639" s="4" t="s">
        <v>9</v>
      </c>
      <c r="G639" s="4" t="s">
        <v>3904</v>
      </c>
      <c r="H639" s="6" t="s">
        <v>11</v>
      </c>
    </row>
    <row r="640" spans="1:8" x14ac:dyDescent="0.25">
      <c r="A640" s="4" t="str">
        <f>"NEGRONI INSUMO -TAP "</f>
        <v xml:space="preserve">NEGRONI INSUMO -TAP </v>
      </c>
      <c r="B640" s="4" t="s">
        <v>38</v>
      </c>
      <c r="D640" s="5">
        <v>62.05</v>
      </c>
      <c r="F640" s="4" t="s">
        <v>59</v>
      </c>
      <c r="G640" s="4" t="s">
        <v>3909</v>
      </c>
      <c r="H640" s="6" t="s">
        <v>11</v>
      </c>
    </row>
    <row r="641" spans="1:8" x14ac:dyDescent="0.25">
      <c r="A641" s="4" t="s">
        <v>3930</v>
      </c>
      <c r="B641" s="4" t="s">
        <v>38</v>
      </c>
      <c r="D641" s="5">
        <v>136.06</v>
      </c>
      <c r="F641" s="4" t="s">
        <v>59</v>
      </c>
      <c r="G641" s="4" t="s">
        <v>3931</v>
      </c>
      <c r="H641" s="6" t="s">
        <v>11</v>
      </c>
    </row>
    <row r="642" spans="1:8" x14ac:dyDescent="0.25">
      <c r="A642" s="4" t="s">
        <v>4121</v>
      </c>
      <c r="B642" s="4" t="s">
        <v>38</v>
      </c>
      <c r="D642" s="5">
        <v>26.42</v>
      </c>
      <c r="F642" s="4" t="s">
        <v>35</v>
      </c>
      <c r="G642" s="4" t="s">
        <v>4122</v>
      </c>
      <c r="H642" s="6" t="s">
        <v>11</v>
      </c>
    </row>
    <row r="643" spans="1:8" x14ac:dyDescent="0.25">
      <c r="A643" s="4" t="s">
        <v>4135</v>
      </c>
      <c r="B643" s="4" t="s">
        <v>38</v>
      </c>
      <c r="D643" s="5">
        <v>60</v>
      </c>
      <c r="F643" s="4" t="s">
        <v>35</v>
      </c>
      <c r="G643" s="4" t="s">
        <v>4136</v>
      </c>
      <c r="H643" s="6" t="s">
        <v>11</v>
      </c>
    </row>
    <row r="644" spans="1:8" x14ac:dyDescent="0.25">
      <c r="A644" s="4" t="s">
        <v>4137</v>
      </c>
      <c r="B644" s="4" t="s">
        <v>38</v>
      </c>
      <c r="D644" s="5">
        <v>6.24</v>
      </c>
      <c r="F644" s="4" t="s">
        <v>35</v>
      </c>
      <c r="G644" s="4" t="s">
        <v>4138</v>
      </c>
      <c r="H644" s="6" t="s">
        <v>11</v>
      </c>
    </row>
    <row r="645" spans="1:8" x14ac:dyDescent="0.25">
      <c r="A645" s="4" t="str">
        <f>"POLPA DE MANGA- ESTOQUE TAP "</f>
        <v xml:space="preserve">POLPA DE MANGA- ESTOQUE TAP </v>
      </c>
      <c r="B645" s="4" t="s">
        <v>38</v>
      </c>
      <c r="D645" s="5">
        <v>40</v>
      </c>
      <c r="F645" s="4" t="s">
        <v>35</v>
      </c>
      <c r="G645" s="4" t="s">
        <v>4139</v>
      </c>
      <c r="H645" s="6" t="s">
        <v>11</v>
      </c>
    </row>
    <row r="646" spans="1:8" x14ac:dyDescent="0.25">
      <c r="A646" s="4" t="s">
        <v>4140</v>
      </c>
      <c r="B646" s="4" t="s">
        <v>38</v>
      </c>
      <c r="D646" s="5">
        <v>72.19</v>
      </c>
      <c r="F646" s="4" t="s">
        <v>59</v>
      </c>
      <c r="G646" s="4" t="s">
        <v>4141</v>
      </c>
      <c r="H646" s="6" t="s">
        <v>11</v>
      </c>
    </row>
    <row r="647" spans="1:8" x14ac:dyDescent="0.25">
      <c r="A647" s="4" t="str">
        <f>"POLPA DE MORANGO- ESTOQUE TAP "</f>
        <v xml:space="preserve">POLPA DE MORANGO- ESTOQUE TAP </v>
      </c>
      <c r="B647" s="4" t="s">
        <v>38</v>
      </c>
      <c r="D647" s="5">
        <v>60</v>
      </c>
      <c r="F647" s="4" t="s">
        <v>9</v>
      </c>
      <c r="G647" s="4" t="s">
        <v>4142</v>
      </c>
      <c r="H647" s="6" t="s">
        <v>11</v>
      </c>
    </row>
    <row r="648" spans="1:8" x14ac:dyDescent="0.25">
      <c r="A648" s="4" t="s">
        <v>4189</v>
      </c>
      <c r="B648" s="4" t="s">
        <v>38</v>
      </c>
      <c r="D648" s="5">
        <v>5.1100000000000003</v>
      </c>
      <c r="F648" s="4" t="s">
        <v>35</v>
      </c>
      <c r="G648" s="4" t="s">
        <v>4190</v>
      </c>
      <c r="H648" s="6" t="s">
        <v>11</v>
      </c>
    </row>
    <row r="649" spans="1:8" x14ac:dyDescent="0.25">
      <c r="A649" s="4" t="str">
        <f>"PURE DE MARACUJA - ESTOQUE TAP "</f>
        <v xml:space="preserve">PURE DE MARACUJA - ESTOQUE TAP </v>
      </c>
      <c r="B649" s="4" t="s">
        <v>38</v>
      </c>
      <c r="D649" s="5">
        <v>71.819999999999993</v>
      </c>
      <c r="F649" s="4" t="s">
        <v>59</v>
      </c>
      <c r="G649" s="4" t="s">
        <v>4191</v>
      </c>
      <c r="H649" s="6" t="s">
        <v>11</v>
      </c>
    </row>
    <row r="650" spans="1:8" x14ac:dyDescent="0.25">
      <c r="A650" s="4" t="s">
        <v>4192</v>
      </c>
      <c r="B650" s="4" t="s">
        <v>38</v>
      </c>
      <c r="D650" s="5">
        <v>18.989999999999998</v>
      </c>
      <c r="F650" s="4" t="s">
        <v>59</v>
      </c>
      <c r="G650" s="4" t="s">
        <v>4193</v>
      </c>
      <c r="H650" s="6" t="s">
        <v>11</v>
      </c>
    </row>
    <row r="651" spans="1:8" x14ac:dyDescent="0.25">
      <c r="A651" s="4" t="s">
        <v>4194</v>
      </c>
      <c r="B651" s="4" t="s">
        <v>38</v>
      </c>
      <c r="D651" s="5">
        <v>94.61</v>
      </c>
      <c r="F651" s="4" t="s">
        <v>59</v>
      </c>
      <c r="G651" s="4" t="s">
        <v>4195</v>
      </c>
      <c r="H651" s="6" t="s">
        <v>11</v>
      </c>
    </row>
    <row r="652" spans="1:8" x14ac:dyDescent="0.25">
      <c r="A652" s="4" t="s">
        <v>4283</v>
      </c>
      <c r="B652" s="4" t="s">
        <v>38</v>
      </c>
      <c r="D652" s="5">
        <v>12.03</v>
      </c>
      <c r="E652" s="5">
        <v>-1.5660000000000001</v>
      </c>
      <c r="F652" s="4" t="s">
        <v>9</v>
      </c>
      <c r="G652" s="4" t="s">
        <v>4284</v>
      </c>
      <c r="H652" s="6" t="s">
        <v>11</v>
      </c>
    </row>
    <row r="653" spans="1:8" x14ac:dyDescent="0.25">
      <c r="A653" s="4" t="s">
        <v>4298</v>
      </c>
      <c r="B653" s="4" t="s">
        <v>38</v>
      </c>
      <c r="D653" s="5">
        <v>37.700000000000003</v>
      </c>
      <c r="F653" s="4" t="s">
        <v>59</v>
      </c>
      <c r="G653" s="4" t="s">
        <v>4299</v>
      </c>
      <c r="H653" s="6" t="s">
        <v>11</v>
      </c>
    </row>
    <row r="654" spans="1:8" x14ac:dyDescent="0.25">
      <c r="A654" s="4" t="s">
        <v>4312</v>
      </c>
      <c r="B654" s="4" t="s">
        <v>38</v>
      </c>
      <c r="D654" s="5">
        <v>2.54</v>
      </c>
      <c r="F654" s="4" t="s">
        <v>59</v>
      </c>
      <c r="G654" s="4" t="s">
        <v>4313</v>
      </c>
      <c r="H654" s="6" t="s">
        <v>11</v>
      </c>
    </row>
    <row r="655" spans="1:8" x14ac:dyDescent="0.25">
      <c r="A655" s="4" t="s">
        <v>4316</v>
      </c>
      <c r="B655" s="4" t="s">
        <v>38</v>
      </c>
      <c r="D655" s="5">
        <v>2.39</v>
      </c>
      <c r="F655" s="4" t="s">
        <v>59</v>
      </c>
      <c r="G655" s="4" t="s">
        <v>4317</v>
      </c>
      <c r="H655" s="6" t="s">
        <v>11</v>
      </c>
    </row>
    <row r="656" spans="1:8" x14ac:dyDescent="0.25">
      <c r="A656" s="4" t="s">
        <v>4345</v>
      </c>
      <c r="B656" s="4" t="s">
        <v>38</v>
      </c>
      <c r="D656" s="5">
        <v>40.44</v>
      </c>
      <c r="F656" s="4" t="s">
        <v>9</v>
      </c>
      <c r="G656" s="4" t="s">
        <v>4346</v>
      </c>
      <c r="H656" s="6" t="s">
        <v>11</v>
      </c>
    </row>
    <row r="657" spans="1:8" x14ac:dyDescent="0.25">
      <c r="A657" s="4" t="s">
        <v>4361</v>
      </c>
      <c r="B657" s="4" t="s">
        <v>38</v>
      </c>
      <c r="D657" s="5">
        <v>133.74</v>
      </c>
      <c r="F657" s="4" t="s">
        <v>59</v>
      </c>
      <c r="G657" s="4" t="s">
        <v>4362</v>
      </c>
      <c r="H657" s="6" t="s">
        <v>11</v>
      </c>
    </row>
    <row r="658" spans="1:8" x14ac:dyDescent="0.25">
      <c r="A658" s="4" t="s">
        <v>4452</v>
      </c>
      <c r="B658" s="4" t="s">
        <v>38</v>
      </c>
      <c r="D658" s="5">
        <v>20.81</v>
      </c>
      <c r="F658" s="4" t="s">
        <v>59</v>
      </c>
      <c r="G658" s="4" t="s">
        <v>4453</v>
      </c>
      <c r="H658" s="6" t="s">
        <v>11</v>
      </c>
    </row>
    <row r="659" spans="1:8" x14ac:dyDescent="0.25">
      <c r="A659" s="4" t="s">
        <v>4456</v>
      </c>
      <c r="B659" s="4" t="s">
        <v>38</v>
      </c>
      <c r="D659" s="5">
        <v>8.89</v>
      </c>
      <c r="F659" s="4" t="s">
        <v>59</v>
      </c>
      <c r="G659" s="4" t="s">
        <v>4457</v>
      </c>
      <c r="H659" s="6" t="s">
        <v>11</v>
      </c>
    </row>
    <row r="660" spans="1:8" x14ac:dyDescent="0.25">
      <c r="A660" s="4" t="s">
        <v>4477</v>
      </c>
      <c r="B660" s="4" t="s">
        <v>38</v>
      </c>
      <c r="D660" s="5">
        <v>8.34</v>
      </c>
      <c r="F660" s="4" t="s">
        <v>9</v>
      </c>
      <c r="G660" s="4" t="s">
        <v>4478</v>
      </c>
      <c r="H660" s="6" t="s">
        <v>11</v>
      </c>
    </row>
    <row r="661" spans="1:8" x14ac:dyDescent="0.25">
      <c r="A661" s="4" t="s">
        <v>4488</v>
      </c>
      <c r="B661" s="4" t="s">
        <v>38</v>
      </c>
      <c r="D661" s="5">
        <v>18.14</v>
      </c>
      <c r="F661" s="4" t="s">
        <v>59</v>
      </c>
      <c r="G661" s="4" t="s">
        <v>4489</v>
      </c>
      <c r="H661" s="6" t="s">
        <v>11</v>
      </c>
    </row>
    <row r="662" spans="1:8" x14ac:dyDescent="0.25">
      <c r="A662" s="4" t="s">
        <v>4490</v>
      </c>
      <c r="B662" s="4" t="s">
        <v>38</v>
      </c>
      <c r="D662" s="5">
        <v>12.02</v>
      </c>
      <c r="F662" s="4" t="s">
        <v>59</v>
      </c>
      <c r="G662" s="4" t="s">
        <v>4491</v>
      </c>
      <c r="H662" s="6" t="s">
        <v>11</v>
      </c>
    </row>
    <row r="663" spans="1:8" x14ac:dyDescent="0.25">
      <c r="A663" s="4" t="str">
        <f>"SUCO DE LIMAO SICILIANO - ESTOQUE TAP "</f>
        <v xml:space="preserve">SUCO DE LIMAO SICILIANO - ESTOQUE TAP </v>
      </c>
      <c r="B663" s="4" t="s">
        <v>38</v>
      </c>
      <c r="D663" s="5">
        <v>11.98</v>
      </c>
      <c r="F663" s="4" t="s">
        <v>59</v>
      </c>
      <c r="G663" s="4" t="s">
        <v>4492</v>
      </c>
      <c r="H663" s="6" t="s">
        <v>11</v>
      </c>
    </row>
    <row r="664" spans="1:8" x14ac:dyDescent="0.25">
      <c r="A664" s="4" t="s">
        <v>4493</v>
      </c>
      <c r="B664" s="4" t="s">
        <v>38</v>
      </c>
      <c r="D664" s="5">
        <v>1.69</v>
      </c>
      <c r="F664" s="4" t="s">
        <v>59</v>
      </c>
      <c r="G664" s="4" t="s">
        <v>4494</v>
      </c>
      <c r="H664" s="6" t="s">
        <v>11</v>
      </c>
    </row>
    <row r="665" spans="1:8" x14ac:dyDescent="0.25">
      <c r="A665" s="4" t="s">
        <v>4495</v>
      </c>
      <c r="B665" s="4" t="s">
        <v>38</v>
      </c>
      <c r="D665" s="5">
        <v>12.57</v>
      </c>
      <c r="F665" s="4" t="s">
        <v>59</v>
      </c>
      <c r="G665" s="4" t="s">
        <v>4496</v>
      </c>
      <c r="H665" s="6" t="s">
        <v>11</v>
      </c>
    </row>
    <row r="666" spans="1:8" x14ac:dyDescent="0.25">
      <c r="A666" s="4" t="str">
        <f>"SUCO DE MARACUJA - ESTOQUE TAP "</f>
        <v xml:space="preserve">SUCO DE MARACUJA - ESTOQUE TAP </v>
      </c>
      <c r="B666" s="4" t="s">
        <v>38</v>
      </c>
      <c r="D666" s="5">
        <v>16.27</v>
      </c>
      <c r="F666" s="4" t="s">
        <v>59</v>
      </c>
      <c r="G666" s="4" t="s">
        <v>4497</v>
      </c>
      <c r="H666" s="6" t="s">
        <v>11</v>
      </c>
    </row>
    <row r="667" spans="1:8" x14ac:dyDescent="0.25">
      <c r="A667" s="4" t="s">
        <v>4498</v>
      </c>
      <c r="B667" s="4" t="s">
        <v>38</v>
      </c>
      <c r="D667" s="5">
        <v>11.32</v>
      </c>
      <c r="F667" s="4" t="s">
        <v>59</v>
      </c>
      <c r="G667" s="4" t="s">
        <v>4499</v>
      </c>
      <c r="H667" s="6" t="s">
        <v>11</v>
      </c>
    </row>
    <row r="668" spans="1:8" x14ac:dyDescent="0.25">
      <c r="A668" s="4" t="str">
        <f>"SWEET N SOUR INSUMO - TAP "</f>
        <v xml:space="preserve">SWEET N SOUR INSUMO - TAP </v>
      </c>
      <c r="B668" s="4" t="s">
        <v>38</v>
      </c>
      <c r="D668" s="5">
        <v>10.83</v>
      </c>
      <c r="F668" s="4" t="s">
        <v>59</v>
      </c>
      <c r="G668" s="4" t="s">
        <v>4513</v>
      </c>
      <c r="H668" s="6" t="s">
        <v>11</v>
      </c>
    </row>
    <row r="669" spans="1:8" x14ac:dyDescent="0.25">
      <c r="A669" s="4" t="str">
        <f>"SYRUP - ESTOQUE TAP "</f>
        <v xml:space="preserve">SYRUP - ESTOQUE TAP </v>
      </c>
      <c r="B669" s="4" t="s">
        <v>38</v>
      </c>
      <c r="D669" s="5">
        <v>3.85</v>
      </c>
      <c r="F669" s="4" t="s">
        <v>59</v>
      </c>
      <c r="G669" s="4" t="s">
        <v>4514</v>
      </c>
      <c r="H669" s="6" t="s">
        <v>11</v>
      </c>
    </row>
    <row r="670" spans="1:8" x14ac:dyDescent="0.25">
      <c r="A670" s="4" t="str">
        <f>"TAMARA - ESTOQUE TAP "</f>
        <v xml:space="preserve">TAMARA - ESTOQUE TAP </v>
      </c>
      <c r="B670" s="4" t="s">
        <v>38</v>
      </c>
      <c r="D670" s="5">
        <v>66.790000000000006</v>
      </c>
      <c r="F670" s="4" t="s">
        <v>35</v>
      </c>
      <c r="G670" s="4" t="s">
        <v>4608</v>
      </c>
      <c r="H670" s="6" t="s">
        <v>11</v>
      </c>
    </row>
    <row r="671" spans="1:8" x14ac:dyDescent="0.25">
      <c r="A671" s="4" t="s">
        <v>4613</v>
      </c>
      <c r="B671" s="4" t="s">
        <v>38</v>
      </c>
      <c r="D671" s="5">
        <v>16.38</v>
      </c>
      <c r="E671" s="5">
        <v>1.3</v>
      </c>
      <c r="F671" s="4" t="s">
        <v>35</v>
      </c>
      <c r="G671" s="4" t="s">
        <v>4614</v>
      </c>
      <c r="H671" s="6" t="s">
        <v>11</v>
      </c>
    </row>
    <row r="672" spans="1:8" x14ac:dyDescent="0.25">
      <c r="A672" s="4" t="str">
        <f>"TROPICAL MIX INSUMO -TAP "</f>
        <v xml:space="preserve">TROPICAL MIX INSUMO -TAP </v>
      </c>
      <c r="B672" s="4" t="s">
        <v>38</v>
      </c>
      <c r="D672" s="5">
        <v>13.95</v>
      </c>
      <c r="F672" s="4" t="s">
        <v>59</v>
      </c>
      <c r="G672" s="4" t="s">
        <v>4671</v>
      </c>
      <c r="H672" s="6" t="s">
        <v>11</v>
      </c>
    </row>
    <row r="673" spans="1:8" x14ac:dyDescent="0.25">
      <c r="A673" s="4" t="s">
        <v>4705</v>
      </c>
      <c r="B673" s="4" t="s">
        <v>38</v>
      </c>
      <c r="D673" s="5">
        <v>24.78</v>
      </c>
      <c r="F673" s="4" t="s">
        <v>35</v>
      </c>
      <c r="G673" s="4" t="s">
        <v>4706</v>
      </c>
      <c r="H673" s="6" t="s">
        <v>11</v>
      </c>
    </row>
    <row r="674" spans="1:8" x14ac:dyDescent="0.25">
      <c r="A674" s="4" t="s">
        <v>4865</v>
      </c>
      <c r="B674" s="4" t="s">
        <v>38</v>
      </c>
      <c r="D674" s="5">
        <v>55.47</v>
      </c>
      <c r="F674" s="4" t="s">
        <v>59</v>
      </c>
      <c r="G674" s="4" t="s">
        <v>4866</v>
      </c>
      <c r="H674" s="6" t="s">
        <v>11</v>
      </c>
    </row>
    <row r="675" spans="1:8" x14ac:dyDescent="0.25">
      <c r="A675" s="4" t="s">
        <v>4867</v>
      </c>
      <c r="B675" s="4" t="s">
        <v>38</v>
      </c>
      <c r="D675" s="5">
        <v>17.53</v>
      </c>
      <c r="F675" s="4" t="s">
        <v>59</v>
      </c>
      <c r="G675" s="4" t="s">
        <v>4868</v>
      </c>
      <c r="H675" s="6" t="s">
        <v>11</v>
      </c>
    </row>
    <row r="676" spans="1:8" x14ac:dyDescent="0.25">
      <c r="A676" s="4" t="s">
        <v>4869</v>
      </c>
      <c r="B676" s="4" t="s">
        <v>38</v>
      </c>
      <c r="D676" s="5">
        <v>26.95</v>
      </c>
      <c r="F676" s="4" t="s">
        <v>59</v>
      </c>
      <c r="G676" s="4" t="s">
        <v>4870</v>
      </c>
      <c r="H676" s="6" t="s">
        <v>11</v>
      </c>
    </row>
    <row r="677" spans="1:8" x14ac:dyDescent="0.25">
      <c r="A677" s="4" t="str">
        <f>"XAROPE DE MANGA 1L - ESTOQUE TAP "</f>
        <v xml:space="preserve">XAROPE DE MANGA 1L - ESTOQUE TAP </v>
      </c>
      <c r="B677" s="4" t="s">
        <v>38</v>
      </c>
      <c r="D677" s="5">
        <v>64.900000000000006</v>
      </c>
      <c r="F677" s="4" t="s">
        <v>59</v>
      </c>
      <c r="G677" s="4" t="s">
        <v>4871</v>
      </c>
      <c r="H677" s="6" t="s">
        <v>11</v>
      </c>
    </row>
    <row r="678" spans="1:8" x14ac:dyDescent="0.25">
      <c r="A678" s="4" t="s">
        <v>4874</v>
      </c>
      <c r="B678" s="4" t="s">
        <v>38</v>
      </c>
      <c r="D678" s="5">
        <v>25.93</v>
      </c>
      <c r="F678" s="4" t="s">
        <v>59</v>
      </c>
      <c r="G678" s="4" t="s">
        <v>4875</v>
      </c>
      <c r="H678" s="6" t="s">
        <v>11</v>
      </c>
    </row>
    <row r="679" spans="1:8" x14ac:dyDescent="0.25">
      <c r="A679" s="4" t="str">
        <f>"XAROPE FABRI FLOR DE SABUGUEIRO - ESTOQUE TAP "</f>
        <v xml:space="preserve">XAROPE FABRI FLOR DE SABUGUEIRO - ESTOQUE TAP </v>
      </c>
      <c r="B679" s="4" t="s">
        <v>38</v>
      </c>
      <c r="D679" s="5">
        <v>64.900000000000006</v>
      </c>
      <c r="F679" s="4" t="s">
        <v>59</v>
      </c>
      <c r="G679" s="4" t="s">
        <v>4876</v>
      </c>
      <c r="H679" s="6" t="s">
        <v>11</v>
      </c>
    </row>
    <row r="680" spans="1:8" x14ac:dyDescent="0.25">
      <c r="A680" s="4" t="s">
        <v>4877</v>
      </c>
      <c r="B680" s="4" t="s">
        <v>38</v>
      </c>
      <c r="D680" s="5">
        <v>29.8</v>
      </c>
      <c r="F680" s="4" t="s">
        <v>59</v>
      </c>
      <c r="G680" s="4" t="s">
        <v>4878</v>
      </c>
      <c r="H680" s="6" t="s">
        <v>11</v>
      </c>
    </row>
    <row r="681" spans="1:8" x14ac:dyDescent="0.25">
      <c r="A681" s="4" t="str">
        <f>"XAROPE LE GOUT APPLE PIE - ESTOQUE TAP "</f>
        <v xml:space="preserve">XAROPE LE GOUT APPLE PIE - ESTOQUE TAP </v>
      </c>
      <c r="B681" s="4" t="s">
        <v>38</v>
      </c>
      <c r="D681" s="5">
        <v>48.48</v>
      </c>
      <c r="F681" s="4" t="s">
        <v>59</v>
      </c>
      <c r="G681" s="4" t="s">
        <v>4879</v>
      </c>
      <c r="H681" s="6" t="s">
        <v>11</v>
      </c>
    </row>
    <row r="682" spans="1:8" x14ac:dyDescent="0.25">
      <c r="A682" s="4" t="str">
        <f>"XAROPE LE GOUT GRENADINE FRUTAS VERMELHAS - ESTOQUE TAP "</f>
        <v xml:space="preserve">XAROPE LE GOUT GRENADINE FRUTAS VERMELHAS - ESTOQUE TAP </v>
      </c>
      <c r="B682" s="4" t="s">
        <v>38</v>
      </c>
      <c r="D682" s="5">
        <v>64.28</v>
      </c>
      <c r="F682" s="4" t="s">
        <v>59</v>
      </c>
      <c r="G682" s="4" t="s">
        <v>4880</v>
      </c>
      <c r="H682" s="6" t="s">
        <v>11</v>
      </c>
    </row>
    <row r="683" spans="1:8" x14ac:dyDescent="0.25">
      <c r="A683" s="4" t="str">
        <f>"XAROPE LE GOUT MACA VERDE - ESTOQUE TAP "</f>
        <v xml:space="preserve">XAROPE LE GOUT MACA VERDE - ESTOQUE TAP </v>
      </c>
      <c r="B683" s="4" t="s">
        <v>38</v>
      </c>
      <c r="D683" s="5">
        <v>60.03</v>
      </c>
      <c r="F683" s="4" t="s">
        <v>59</v>
      </c>
      <c r="G683" s="4" t="s">
        <v>4881</v>
      </c>
      <c r="H683" s="6" t="s">
        <v>11</v>
      </c>
    </row>
    <row r="684" spans="1:8" x14ac:dyDescent="0.25">
      <c r="A684" s="4" t="str">
        <f>"XAROPE LE GOUT PINK LEMONADE - ESTOQUE TAP "</f>
        <v xml:space="preserve">XAROPE LE GOUT PINK LEMONADE - ESTOQUE TAP </v>
      </c>
      <c r="B684" s="4" t="s">
        <v>38</v>
      </c>
      <c r="D684" s="5">
        <v>52</v>
      </c>
      <c r="F684" s="4" t="s">
        <v>59</v>
      </c>
      <c r="G684" s="4" t="s">
        <v>4886</v>
      </c>
      <c r="H684" s="6" t="s">
        <v>11</v>
      </c>
    </row>
    <row r="685" spans="1:8" x14ac:dyDescent="0.25">
      <c r="A685" s="4" t="s">
        <v>4890</v>
      </c>
      <c r="B685" s="4" t="s">
        <v>38</v>
      </c>
      <c r="C685" s="5">
        <v>95.12</v>
      </c>
      <c r="D685" s="5">
        <v>47.56</v>
      </c>
      <c r="F685" s="4" t="s">
        <v>59</v>
      </c>
      <c r="G685" s="4" t="s">
        <v>4891</v>
      </c>
      <c r="H685" s="6" t="s">
        <v>11</v>
      </c>
    </row>
    <row r="686" spans="1:8" x14ac:dyDescent="0.25">
      <c r="A686" s="4" t="str">
        <f>"XAROPE MANGO SPICY 750ML - ESTOQUE TAP "</f>
        <v xml:space="preserve">XAROPE MANGO SPICY 750ML - ESTOQUE TAP </v>
      </c>
      <c r="B686" s="4" t="s">
        <v>38</v>
      </c>
      <c r="D686" s="5">
        <v>55.63</v>
      </c>
      <c r="F686" s="4" t="s">
        <v>59</v>
      </c>
      <c r="G686" s="4" t="s">
        <v>4892</v>
      </c>
      <c r="H686" s="6" t="s">
        <v>11</v>
      </c>
    </row>
    <row r="687" spans="1:8" x14ac:dyDescent="0.25">
      <c r="A687" s="4" t="s">
        <v>4893</v>
      </c>
      <c r="B687" s="4" t="s">
        <v>38</v>
      </c>
      <c r="D687" s="5">
        <v>53.52</v>
      </c>
      <c r="F687" s="4" t="s">
        <v>59</v>
      </c>
      <c r="G687" s="4" t="s">
        <v>4894</v>
      </c>
      <c r="H687" s="6" t="s">
        <v>11</v>
      </c>
    </row>
    <row r="688" spans="1:8" x14ac:dyDescent="0.25">
      <c r="A688" s="4" t="str">
        <f>"XAROPE MONIN AMORA - ESTOQUE "</f>
        <v xml:space="preserve">XAROPE MONIN AMORA - ESTOQUE </v>
      </c>
      <c r="B688" s="4" t="s">
        <v>38</v>
      </c>
      <c r="D688" s="5">
        <v>59.16</v>
      </c>
      <c r="F688" s="4" t="s">
        <v>59</v>
      </c>
      <c r="G688" s="4" t="s">
        <v>4895</v>
      </c>
      <c r="H688" s="6" t="s">
        <v>11</v>
      </c>
    </row>
    <row r="689" spans="1:8" x14ac:dyDescent="0.25">
      <c r="A689" s="4" t="s">
        <v>4896</v>
      </c>
      <c r="B689" s="4" t="s">
        <v>38</v>
      </c>
      <c r="D689" s="5">
        <v>64.400000000000006</v>
      </c>
      <c r="F689" s="4" t="s">
        <v>59</v>
      </c>
      <c r="G689" s="4" t="s">
        <v>4897</v>
      </c>
      <c r="H689" s="6" t="s">
        <v>11</v>
      </c>
    </row>
    <row r="690" spans="1:8" x14ac:dyDescent="0.25">
      <c r="A690" s="4" t="str">
        <f>"XAROPE MONIN CARAMELO  - ESTOQUE TAP "</f>
        <v xml:space="preserve">XAROPE MONIN CARAMELO  - ESTOQUE TAP </v>
      </c>
      <c r="B690" s="4" t="s">
        <v>38</v>
      </c>
      <c r="D690" s="5">
        <v>72.97</v>
      </c>
      <c r="F690" s="4" t="s">
        <v>59</v>
      </c>
      <c r="G690" s="4" t="s">
        <v>4898</v>
      </c>
      <c r="H690" s="6" t="s">
        <v>11</v>
      </c>
    </row>
    <row r="691" spans="1:8" x14ac:dyDescent="0.25">
      <c r="A691" s="4" t="s">
        <v>4899</v>
      </c>
      <c r="B691" s="4" t="s">
        <v>38</v>
      </c>
      <c r="D691" s="5">
        <v>68.930000000000007</v>
      </c>
      <c r="E691" s="5">
        <v>0.7</v>
      </c>
      <c r="F691" s="4" t="s">
        <v>59</v>
      </c>
      <c r="G691" s="4" t="s">
        <v>4900</v>
      </c>
      <c r="H691" s="6" t="s">
        <v>11</v>
      </c>
    </row>
    <row r="692" spans="1:8" x14ac:dyDescent="0.25">
      <c r="A692" s="4" t="str">
        <f>"XAROPE MONIN GENGIBRE - ESTOQUE TAP "</f>
        <v xml:space="preserve">XAROPE MONIN GENGIBRE - ESTOQUE TAP </v>
      </c>
      <c r="B692" s="4" t="s">
        <v>38</v>
      </c>
      <c r="D692" s="5">
        <v>63.57</v>
      </c>
      <c r="F692" s="4" t="s">
        <v>59</v>
      </c>
      <c r="G692" s="4" t="s">
        <v>4901</v>
      </c>
      <c r="H692" s="6" t="s">
        <v>11</v>
      </c>
    </row>
    <row r="693" spans="1:8" x14ac:dyDescent="0.25">
      <c r="A693" s="4" t="s">
        <v>4902</v>
      </c>
      <c r="B693" s="4" t="s">
        <v>38</v>
      </c>
      <c r="D693" s="5">
        <v>52.47</v>
      </c>
      <c r="F693" s="4" t="s">
        <v>59</v>
      </c>
      <c r="G693" s="4" t="s">
        <v>4903</v>
      </c>
      <c r="H693" s="6" t="s">
        <v>11</v>
      </c>
    </row>
    <row r="694" spans="1:8" x14ac:dyDescent="0.25">
      <c r="A694" s="4" t="str">
        <f>"XAROPE MONIN MANGA - ESTOQUE TAP "</f>
        <v xml:space="preserve">XAROPE MONIN MANGA - ESTOQUE TAP </v>
      </c>
      <c r="B694" s="4" t="s">
        <v>38</v>
      </c>
      <c r="D694" s="5">
        <v>65.33</v>
      </c>
      <c r="F694" s="4" t="s">
        <v>59</v>
      </c>
      <c r="G694" s="4" t="s">
        <v>4904</v>
      </c>
      <c r="H694" s="6" t="s">
        <v>11</v>
      </c>
    </row>
    <row r="695" spans="1:8" x14ac:dyDescent="0.25">
      <c r="A695" s="4" t="s">
        <v>4905</v>
      </c>
      <c r="B695" s="4" t="s">
        <v>38</v>
      </c>
      <c r="D695" s="5">
        <v>49.9</v>
      </c>
      <c r="F695" s="4" t="s">
        <v>9</v>
      </c>
      <c r="G695" s="4" t="s">
        <v>4906</v>
      </c>
      <c r="H695" s="6" t="s">
        <v>11</v>
      </c>
    </row>
    <row r="696" spans="1:8" x14ac:dyDescent="0.25">
      <c r="A696" s="4" t="str">
        <f>"XAROPE MONIN MELANCIA - ESTOQUE TAP "</f>
        <v xml:space="preserve">XAROPE MONIN MELANCIA - ESTOQUE TAP </v>
      </c>
      <c r="B696" s="4" t="s">
        <v>38</v>
      </c>
      <c r="D696" s="5">
        <v>64.77</v>
      </c>
      <c r="F696" s="4" t="s">
        <v>59</v>
      </c>
      <c r="G696" s="4" t="s">
        <v>4907</v>
      </c>
      <c r="H696" s="6" t="s">
        <v>11</v>
      </c>
    </row>
    <row r="697" spans="1:8" x14ac:dyDescent="0.25">
      <c r="A697" s="4" t="s">
        <v>4908</v>
      </c>
      <c r="B697" s="4" t="s">
        <v>38</v>
      </c>
      <c r="F697" s="4" t="s">
        <v>59</v>
      </c>
      <c r="G697" s="4" t="s">
        <v>4909</v>
      </c>
      <c r="H697" s="6" t="s">
        <v>11</v>
      </c>
    </row>
    <row r="698" spans="1:8" x14ac:dyDescent="0.25">
      <c r="A698" s="4" t="str">
        <f>"XAROPE MOSCOW MULE - ESTOQUE TAP "</f>
        <v xml:space="preserve">XAROPE MOSCOW MULE - ESTOQUE TAP </v>
      </c>
      <c r="B698" s="4" t="s">
        <v>38</v>
      </c>
      <c r="D698" s="5">
        <v>52</v>
      </c>
      <c r="F698" s="4" t="s">
        <v>59</v>
      </c>
      <c r="G698" s="4" t="s">
        <v>4910</v>
      </c>
      <c r="H698" s="6" t="s">
        <v>11</v>
      </c>
    </row>
    <row r="699" spans="1:8" x14ac:dyDescent="0.25">
      <c r="A699" s="4" t="s">
        <v>4940</v>
      </c>
      <c r="B699" s="4" t="s">
        <v>38</v>
      </c>
      <c r="D699" s="5">
        <v>49.9</v>
      </c>
      <c r="F699" s="4" t="s">
        <v>59</v>
      </c>
      <c r="G699" s="4" t="s">
        <v>4941</v>
      </c>
      <c r="H699" s="6" t="s">
        <v>11</v>
      </c>
    </row>
    <row r="700" spans="1:8" x14ac:dyDescent="0.25">
      <c r="A700" s="4" t="s">
        <v>204</v>
      </c>
      <c r="B700" s="4" t="s">
        <v>205</v>
      </c>
      <c r="F700" s="4" t="s">
        <v>9</v>
      </c>
      <c r="G700" s="4" t="s">
        <v>206</v>
      </c>
      <c r="H700" s="6" t="s">
        <v>11</v>
      </c>
    </row>
    <row r="701" spans="1:8" x14ac:dyDescent="0.25">
      <c r="A701" s="4" t="s">
        <v>209</v>
      </c>
      <c r="B701" s="4" t="s">
        <v>205</v>
      </c>
      <c r="F701" s="4" t="s">
        <v>9</v>
      </c>
      <c r="G701" s="4" t="s">
        <v>210</v>
      </c>
      <c r="H701" s="6" t="s">
        <v>11</v>
      </c>
    </row>
    <row r="702" spans="1:8" x14ac:dyDescent="0.25">
      <c r="A702" s="4" t="s">
        <v>224</v>
      </c>
      <c r="B702" s="4" t="s">
        <v>205</v>
      </c>
      <c r="F702" s="4" t="s">
        <v>9</v>
      </c>
      <c r="G702" s="4" t="s">
        <v>225</v>
      </c>
      <c r="H702" s="6" t="s">
        <v>11</v>
      </c>
    </row>
    <row r="703" spans="1:8" x14ac:dyDescent="0.25">
      <c r="A703" s="4" t="s">
        <v>241</v>
      </c>
      <c r="B703" s="4" t="s">
        <v>205</v>
      </c>
      <c r="F703" s="4" t="s">
        <v>9</v>
      </c>
      <c r="G703" s="4" t="s">
        <v>242</v>
      </c>
      <c r="H703" s="6" t="s">
        <v>11</v>
      </c>
    </row>
    <row r="704" spans="1:8" x14ac:dyDescent="0.25">
      <c r="A704" s="4" t="s">
        <v>407</v>
      </c>
      <c r="B704" s="4" t="s">
        <v>205</v>
      </c>
      <c r="F704" s="4" t="s">
        <v>9</v>
      </c>
      <c r="G704" s="4" t="s">
        <v>408</v>
      </c>
      <c r="H704" s="6" t="s">
        <v>11</v>
      </c>
    </row>
    <row r="705" spans="1:8" x14ac:dyDescent="0.25">
      <c r="A705" s="4" t="str">
        <f>"CABO ALUMINIO - ESTOQUE TAP "</f>
        <v xml:space="preserve">CABO ALUMINIO - ESTOQUE TAP </v>
      </c>
      <c r="B705" s="4" t="s">
        <v>205</v>
      </c>
      <c r="D705" s="5">
        <v>18.989999999999998</v>
      </c>
      <c r="F705" s="4" t="s">
        <v>9</v>
      </c>
      <c r="G705" s="4" t="s">
        <v>423</v>
      </c>
      <c r="H705" s="6" t="s">
        <v>11</v>
      </c>
    </row>
    <row r="706" spans="1:8" x14ac:dyDescent="0.25">
      <c r="A706" s="4" t="s">
        <v>424</v>
      </c>
      <c r="B706" s="4" t="s">
        <v>205</v>
      </c>
      <c r="D706" s="5">
        <v>6.5</v>
      </c>
      <c r="F706" s="4" t="s">
        <v>9</v>
      </c>
      <c r="G706" s="4" t="s">
        <v>425</v>
      </c>
      <c r="H706" s="6" t="s">
        <v>11</v>
      </c>
    </row>
    <row r="707" spans="1:8" x14ac:dyDescent="0.25">
      <c r="A707" s="4" t="s">
        <v>473</v>
      </c>
      <c r="B707" s="4" t="s">
        <v>205</v>
      </c>
      <c r="F707" s="4" t="s">
        <v>9</v>
      </c>
      <c r="G707" s="4" t="s">
        <v>474</v>
      </c>
      <c r="H707" s="6" t="s">
        <v>11</v>
      </c>
    </row>
    <row r="708" spans="1:8" x14ac:dyDescent="0.25">
      <c r="A708" s="4" t="str">
        <f>"CAIXA P/ HAMBURGUER "</f>
        <v xml:space="preserve">CAIXA P/ HAMBURGUER </v>
      </c>
      <c r="B708" s="4" t="s">
        <v>205</v>
      </c>
      <c r="F708" s="4" t="s">
        <v>9</v>
      </c>
      <c r="G708" s="4" t="s">
        <v>475</v>
      </c>
      <c r="H708" s="6" t="s">
        <v>11</v>
      </c>
    </row>
    <row r="709" spans="1:8" x14ac:dyDescent="0.25">
      <c r="A709" s="4" t="s">
        <v>476</v>
      </c>
      <c r="B709" s="4" t="s">
        <v>205</v>
      </c>
      <c r="F709" s="4" t="s">
        <v>9</v>
      </c>
      <c r="G709" s="4" t="s">
        <v>477</v>
      </c>
      <c r="H709" s="6" t="s">
        <v>11</v>
      </c>
    </row>
    <row r="710" spans="1:8" x14ac:dyDescent="0.25">
      <c r="A710" s="4" t="str">
        <f>"CAIXA VAZADA "</f>
        <v xml:space="preserve">CAIXA VAZADA </v>
      </c>
      <c r="B710" s="4" t="s">
        <v>205</v>
      </c>
      <c r="F710" s="4" t="s">
        <v>9</v>
      </c>
      <c r="G710" s="4" t="s">
        <v>478</v>
      </c>
      <c r="H710" s="6" t="s">
        <v>11</v>
      </c>
    </row>
    <row r="711" spans="1:8" x14ac:dyDescent="0.25">
      <c r="A711" s="4" t="s">
        <v>2313</v>
      </c>
      <c r="B711" s="4" t="s">
        <v>205</v>
      </c>
      <c r="C711" s="5">
        <v>1.98</v>
      </c>
      <c r="D711" s="5">
        <v>0.99</v>
      </c>
      <c r="E711" s="5">
        <v>500</v>
      </c>
      <c r="F711" s="4" t="s">
        <v>9</v>
      </c>
      <c r="G711" s="4" t="s">
        <v>2314</v>
      </c>
      <c r="H711" s="6" t="s">
        <v>11</v>
      </c>
    </row>
    <row r="712" spans="1:8" x14ac:dyDescent="0.25">
      <c r="A712" s="4" t="s">
        <v>2451</v>
      </c>
      <c r="B712" s="4" t="s">
        <v>205</v>
      </c>
      <c r="F712" s="4" t="s">
        <v>9</v>
      </c>
      <c r="G712" s="4" t="s">
        <v>2452</v>
      </c>
      <c r="H712" s="6" t="s">
        <v>11</v>
      </c>
    </row>
    <row r="713" spans="1:8" x14ac:dyDescent="0.25">
      <c r="A713" s="4" t="s">
        <v>2453</v>
      </c>
      <c r="B713" s="4" t="s">
        <v>205</v>
      </c>
      <c r="D713" s="5">
        <v>285.75</v>
      </c>
      <c r="F713" s="4" t="s">
        <v>9</v>
      </c>
      <c r="G713" s="4" t="s">
        <v>2454</v>
      </c>
      <c r="H713" s="6" t="s">
        <v>11</v>
      </c>
    </row>
    <row r="714" spans="1:8" x14ac:dyDescent="0.25">
      <c r="A714" s="4" t="s">
        <v>2455</v>
      </c>
      <c r="B714" s="4" t="s">
        <v>205</v>
      </c>
      <c r="F714" s="4" t="s">
        <v>9</v>
      </c>
      <c r="G714" s="4" t="s">
        <v>2456</v>
      </c>
      <c r="H714" s="6" t="s">
        <v>11</v>
      </c>
    </row>
    <row r="715" spans="1:8" x14ac:dyDescent="0.25">
      <c r="A715" s="4" t="s">
        <v>2457</v>
      </c>
      <c r="B715" s="4" t="s">
        <v>205</v>
      </c>
      <c r="F715" s="4" t="s">
        <v>9</v>
      </c>
      <c r="G715" s="4" t="s">
        <v>2458</v>
      </c>
      <c r="H715" s="6" t="s">
        <v>11</v>
      </c>
    </row>
    <row r="716" spans="1:8" x14ac:dyDescent="0.25">
      <c r="A716" s="4" t="s">
        <v>2743</v>
      </c>
      <c r="B716" s="4" t="s">
        <v>205</v>
      </c>
      <c r="D716" s="5">
        <v>0.06</v>
      </c>
      <c r="F716" s="4" t="s">
        <v>9</v>
      </c>
      <c r="G716" s="4" t="s">
        <v>2744</v>
      </c>
      <c r="H716" s="6" t="s">
        <v>11</v>
      </c>
    </row>
    <row r="717" spans="1:8" x14ac:dyDescent="0.25">
      <c r="A717" s="4" t="s">
        <v>2747</v>
      </c>
      <c r="B717" s="4" t="s">
        <v>205</v>
      </c>
      <c r="F717" s="4" t="s">
        <v>9</v>
      </c>
      <c r="G717" s="4" t="s">
        <v>2748</v>
      </c>
      <c r="H717" s="6" t="s">
        <v>11</v>
      </c>
    </row>
    <row r="718" spans="1:8" x14ac:dyDescent="0.25">
      <c r="A718" s="4" t="s">
        <v>2749</v>
      </c>
      <c r="B718" s="4" t="s">
        <v>205</v>
      </c>
      <c r="F718" s="4" t="s">
        <v>9</v>
      </c>
      <c r="G718" s="4" t="s">
        <v>2750</v>
      </c>
      <c r="H718" s="6" t="s">
        <v>11</v>
      </c>
    </row>
    <row r="719" spans="1:8" x14ac:dyDescent="0.25">
      <c r="A719" s="4" t="s">
        <v>2751</v>
      </c>
      <c r="B719" s="4" t="s">
        <v>205</v>
      </c>
      <c r="F719" s="4" t="s">
        <v>9</v>
      </c>
      <c r="G719" s="4" t="s">
        <v>2752</v>
      </c>
      <c r="H719" s="6" t="s">
        <v>11</v>
      </c>
    </row>
    <row r="720" spans="1:8" x14ac:dyDescent="0.25">
      <c r="A720" s="4" t="s">
        <v>2757</v>
      </c>
      <c r="B720" s="4" t="s">
        <v>205</v>
      </c>
      <c r="F720" s="4" t="s">
        <v>9</v>
      </c>
      <c r="G720" s="4" t="s">
        <v>2758</v>
      </c>
      <c r="H720" s="6" t="s">
        <v>11</v>
      </c>
    </row>
    <row r="721" spans="1:8" x14ac:dyDescent="0.25">
      <c r="A721" s="4" t="s">
        <v>2759</v>
      </c>
      <c r="B721" s="4" t="s">
        <v>205</v>
      </c>
      <c r="F721" s="4" t="s">
        <v>9</v>
      </c>
      <c r="G721" s="4" t="s">
        <v>2760</v>
      </c>
      <c r="H721" s="6" t="s">
        <v>11</v>
      </c>
    </row>
    <row r="722" spans="1:8" x14ac:dyDescent="0.25">
      <c r="A722" s="4" t="s">
        <v>2765</v>
      </c>
      <c r="B722" s="4" t="s">
        <v>205</v>
      </c>
      <c r="F722" s="4" t="s">
        <v>9</v>
      </c>
      <c r="G722" s="4" t="s">
        <v>2766</v>
      </c>
      <c r="H722" s="6" t="s">
        <v>11</v>
      </c>
    </row>
    <row r="723" spans="1:8" x14ac:dyDescent="0.25">
      <c r="A723" s="4" t="s">
        <v>2767</v>
      </c>
      <c r="B723" s="4" t="s">
        <v>205</v>
      </c>
      <c r="F723" s="4" t="s">
        <v>9</v>
      </c>
      <c r="G723" s="4" t="s">
        <v>2768</v>
      </c>
      <c r="H723" s="6" t="s">
        <v>11</v>
      </c>
    </row>
    <row r="724" spans="1:8" x14ac:dyDescent="0.25">
      <c r="A724" s="4" t="s">
        <v>2771</v>
      </c>
      <c r="B724" s="4" t="s">
        <v>205</v>
      </c>
      <c r="F724" s="4" t="s">
        <v>9</v>
      </c>
      <c r="G724" s="4" t="s">
        <v>2772</v>
      </c>
      <c r="H724" s="6" t="s">
        <v>11</v>
      </c>
    </row>
    <row r="725" spans="1:8" x14ac:dyDescent="0.25">
      <c r="A725" s="4" t="s">
        <v>2857</v>
      </c>
      <c r="B725" s="4" t="s">
        <v>205</v>
      </c>
      <c r="F725" s="4" t="s">
        <v>9</v>
      </c>
      <c r="G725" s="4" t="s">
        <v>2858</v>
      </c>
      <c r="H725" s="6" t="s">
        <v>11</v>
      </c>
    </row>
    <row r="726" spans="1:8" x14ac:dyDescent="0.25">
      <c r="A726" s="4" t="s">
        <v>2943</v>
      </c>
      <c r="B726" s="4" t="s">
        <v>205</v>
      </c>
      <c r="F726" s="4" t="s">
        <v>9</v>
      </c>
      <c r="G726" s="4" t="s">
        <v>2944</v>
      </c>
      <c r="H726" s="6" t="s">
        <v>11</v>
      </c>
    </row>
    <row r="727" spans="1:8" x14ac:dyDescent="0.25">
      <c r="A727" s="4" t="s">
        <v>2947</v>
      </c>
      <c r="B727" s="4" t="s">
        <v>205</v>
      </c>
      <c r="F727" s="4" t="s">
        <v>9</v>
      </c>
      <c r="G727" s="4" t="s">
        <v>2948</v>
      </c>
      <c r="H727" s="6" t="s">
        <v>11</v>
      </c>
    </row>
    <row r="728" spans="1:8" x14ac:dyDescent="0.25">
      <c r="A728" s="4" t="str">
        <f>"FILME PLASTICO MAQUINA - ESTOQUE TAP "</f>
        <v xml:space="preserve">FILME PLASTICO MAQUINA - ESTOQUE TAP </v>
      </c>
      <c r="B728" s="4" t="s">
        <v>205</v>
      </c>
      <c r="C728" s="5">
        <v>264.60000000000002</v>
      </c>
      <c r="D728" s="5">
        <v>330.14</v>
      </c>
      <c r="F728" s="4" t="s">
        <v>9</v>
      </c>
      <c r="G728" s="4" t="s">
        <v>2998</v>
      </c>
      <c r="H728" s="6" t="s">
        <v>11</v>
      </c>
    </row>
    <row r="729" spans="1:8" x14ac:dyDescent="0.25">
      <c r="A729" s="4" t="s">
        <v>3001</v>
      </c>
      <c r="B729" s="4" t="s">
        <v>205</v>
      </c>
      <c r="C729" s="5">
        <v>264.60000000000002</v>
      </c>
      <c r="D729" s="5">
        <v>123.1</v>
      </c>
      <c r="E729" s="5">
        <v>4</v>
      </c>
      <c r="F729" s="4" t="s">
        <v>9</v>
      </c>
      <c r="G729" s="4" t="s">
        <v>3002</v>
      </c>
      <c r="H729" s="6" t="s">
        <v>11</v>
      </c>
    </row>
    <row r="730" spans="1:8" x14ac:dyDescent="0.25">
      <c r="A730" s="4" t="s">
        <v>3045</v>
      </c>
      <c r="B730" s="4" t="s">
        <v>205</v>
      </c>
      <c r="F730" s="4" t="s">
        <v>9</v>
      </c>
      <c r="G730" s="4" t="s">
        <v>3046</v>
      </c>
      <c r="H730" s="6" t="s">
        <v>11</v>
      </c>
    </row>
    <row r="731" spans="1:8" x14ac:dyDescent="0.25">
      <c r="A731" s="4" t="s">
        <v>3047</v>
      </c>
      <c r="B731" s="4" t="s">
        <v>205</v>
      </c>
      <c r="D731" s="5">
        <v>8.64</v>
      </c>
      <c r="F731" s="4" t="s">
        <v>9</v>
      </c>
      <c r="G731" s="4" t="s">
        <v>3048</v>
      </c>
      <c r="H731" s="6" t="s">
        <v>11</v>
      </c>
    </row>
    <row r="732" spans="1:8" x14ac:dyDescent="0.25">
      <c r="A732" s="4" t="s">
        <v>3053</v>
      </c>
      <c r="B732" s="4" t="s">
        <v>205</v>
      </c>
      <c r="F732" s="4" t="s">
        <v>9</v>
      </c>
      <c r="G732" s="4" t="s">
        <v>3054</v>
      </c>
      <c r="H732" s="6" t="s">
        <v>11</v>
      </c>
    </row>
    <row r="733" spans="1:8" x14ac:dyDescent="0.25">
      <c r="A733" s="4" t="s">
        <v>3160</v>
      </c>
      <c r="B733" s="4" t="s">
        <v>205</v>
      </c>
      <c r="D733" s="5">
        <v>0.53</v>
      </c>
      <c r="F733" s="4" t="s">
        <v>9</v>
      </c>
      <c r="G733" s="4" t="s">
        <v>3161</v>
      </c>
      <c r="H733" s="6" t="s">
        <v>11</v>
      </c>
    </row>
    <row r="734" spans="1:8" x14ac:dyDescent="0.25">
      <c r="A734" s="4" t="s">
        <v>3162</v>
      </c>
      <c r="B734" s="4" t="s">
        <v>205</v>
      </c>
      <c r="D734" s="5">
        <v>9.4499999999999993</v>
      </c>
      <c r="F734" s="4" t="s">
        <v>9</v>
      </c>
      <c r="G734" s="4" t="s">
        <v>3163</v>
      </c>
      <c r="H734" s="6" t="s">
        <v>11</v>
      </c>
    </row>
    <row r="735" spans="1:8" x14ac:dyDescent="0.25">
      <c r="A735" s="4" t="s">
        <v>3164</v>
      </c>
      <c r="B735" s="4" t="s">
        <v>205</v>
      </c>
      <c r="D735" s="5">
        <v>0.2</v>
      </c>
      <c r="F735" s="4" t="s">
        <v>9</v>
      </c>
      <c r="G735" s="4" t="s">
        <v>3165</v>
      </c>
      <c r="H735" s="6" t="s">
        <v>11</v>
      </c>
    </row>
    <row r="736" spans="1:8" x14ac:dyDescent="0.25">
      <c r="A736" s="4" t="s">
        <v>3166</v>
      </c>
      <c r="B736" s="4" t="s">
        <v>205</v>
      </c>
      <c r="D736" s="5">
        <v>83.61</v>
      </c>
      <c r="F736" s="4" t="s">
        <v>9</v>
      </c>
      <c r="G736" s="4" t="s">
        <v>3167</v>
      </c>
      <c r="H736" s="6" t="s">
        <v>11</v>
      </c>
    </row>
    <row r="737" spans="1:8" x14ac:dyDescent="0.25">
      <c r="A737" s="4" t="s">
        <v>3888</v>
      </c>
      <c r="B737" s="4" t="s">
        <v>205</v>
      </c>
      <c r="F737" s="4" t="s">
        <v>9</v>
      </c>
      <c r="G737" s="4" t="s">
        <v>3889</v>
      </c>
      <c r="H737" s="6" t="s">
        <v>11</v>
      </c>
    </row>
    <row r="738" spans="1:8" x14ac:dyDescent="0.25">
      <c r="A738" s="4" t="str">
        <f>"PINO C MACHO - ESTOQUE TAP "</f>
        <v xml:space="preserve">PINO C MACHO - ESTOQUE TAP </v>
      </c>
      <c r="B738" s="4" t="s">
        <v>205</v>
      </c>
      <c r="D738" s="5">
        <v>6.5</v>
      </c>
      <c r="F738" s="4" t="s">
        <v>9</v>
      </c>
      <c r="G738" s="4" t="s">
        <v>4115</v>
      </c>
      <c r="H738" s="6" t="s">
        <v>11</v>
      </c>
    </row>
    <row r="739" spans="1:8" x14ac:dyDescent="0.25">
      <c r="A739" s="4" t="str">
        <f>"PINO D FEMEA - ESTOQUE TAP "</f>
        <v xml:space="preserve">PINO D FEMEA - ESTOQUE TAP </v>
      </c>
      <c r="B739" s="4" t="s">
        <v>205</v>
      </c>
      <c r="D739" s="5">
        <v>9.9</v>
      </c>
      <c r="F739" s="4" t="s">
        <v>9</v>
      </c>
      <c r="G739" s="4" t="s">
        <v>4116</v>
      </c>
      <c r="H739" s="6" t="s">
        <v>11</v>
      </c>
    </row>
    <row r="740" spans="1:8" x14ac:dyDescent="0.25">
      <c r="A740" s="4" t="s">
        <v>4216</v>
      </c>
      <c r="B740" s="4" t="s">
        <v>205</v>
      </c>
      <c r="F740" s="4" t="s">
        <v>9</v>
      </c>
      <c r="G740" s="4" t="s">
        <v>4217</v>
      </c>
      <c r="H740" s="6" t="s">
        <v>11</v>
      </c>
    </row>
    <row r="741" spans="1:8" x14ac:dyDescent="0.25">
      <c r="A741" s="4" t="s">
        <v>4218</v>
      </c>
      <c r="B741" s="4" t="s">
        <v>205</v>
      </c>
      <c r="F741" s="4" t="s">
        <v>9</v>
      </c>
      <c r="G741" s="4" t="s">
        <v>4219</v>
      </c>
      <c r="H741" s="6" t="s">
        <v>11</v>
      </c>
    </row>
    <row r="742" spans="1:8" x14ac:dyDescent="0.25">
      <c r="A742" s="4" t="s">
        <v>4220</v>
      </c>
      <c r="B742" s="4" t="s">
        <v>205</v>
      </c>
      <c r="F742" s="4" t="s">
        <v>9</v>
      </c>
      <c r="G742" s="4" t="s">
        <v>4221</v>
      </c>
      <c r="H742" s="6" t="s">
        <v>11</v>
      </c>
    </row>
    <row r="743" spans="1:8" x14ac:dyDescent="0.25">
      <c r="A743" s="4" t="s">
        <v>4222</v>
      </c>
      <c r="B743" s="4" t="s">
        <v>205</v>
      </c>
      <c r="F743" s="4" t="s">
        <v>9</v>
      </c>
      <c r="G743" s="4" t="s">
        <v>4223</v>
      </c>
      <c r="H743" s="6" t="s">
        <v>11</v>
      </c>
    </row>
    <row r="744" spans="1:8" x14ac:dyDescent="0.25">
      <c r="A744" s="4" t="s">
        <v>4238</v>
      </c>
      <c r="B744" s="4" t="s">
        <v>205</v>
      </c>
      <c r="D744" s="5">
        <v>195.54</v>
      </c>
      <c r="F744" s="4" t="s">
        <v>9</v>
      </c>
      <c r="G744" s="4" t="s">
        <v>4239</v>
      </c>
      <c r="H744" s="6" t="s">
        <v>11</v>
      </c>
    </row>
    <row r="745" spans="1:8" x14ac:dyDescent="0.25">
      <c r="A745" s="4" t="s">
        <v>4240</v>
      </c>
      <c r="B745" s="4" t="s">
        <v>205</v>
      </c>
      <c r="F745" s="4" t="s">
        <v>9</v>
      </c>
      <c r="G745" s="4" t="s">
        <v>4241</v>
      </c>
      <c r="H745" s="6" t="s">
        <v>11</v>
      </c>
    </row>
    <row r="746" spans="1:8" x14ac:dyDescent="0.25">
      <c r="A746" s="4" t="s">
        <v>4242</v>
      </c>
      <c r="B746" s="4" t="s">
        <v>205</v>
      </c>
      <c r="F746" s="4" t="s">
        <v>9</v>
      </c>
      <c r="G746" s="4" t="s">
        <v>4243</v>
      </c>
      <c r="H746" s="6" t="s">
        <v>11</v>
      </c>
    </row>
    <row r="747" spans="1:8" x14ac:dyDescent="0.25">
      <c r="A747" s="4" t="s">
        <v>4248</v>
      </c>
      <c r="B747" s="4" t="s">
        <v>205</v>
      </c>
      <c r="D747" s="5">
        <v>1.91</v>
      </c>
      <c r="F747" s="4" t="s">
        <v>9</v>
      </c>
      <c r="G747" s="4" t="s">
        <v>4249</v>
      </c>
      <c r="H747" s="6" t="s">
        <v>11</v>
      </c>
    </row>
    <row r="748" spans="1:8" x14ac:dyDescent="0.25">
      <c r="A748" s="4" t="s">
        <v>4406</v>
      </c>
      <c r="B748" s="4" t="s">
        <v>205</v>
      </c>
      <c r="F748" s="4" t="s">
        <v>9</v>
      </c>
      <c r="G748" s="4" t="s">
        <v>4407</v>
      </c>
      <c r="H748" s="6" t="s">
        <v>11</v>
      </c>
    </row>
    <row r="749" spans="1:8" x14ac:dyDescent="0.25">
      <c r="A749" s="4" t="s">
        <v>4506</v>
      </c>
      <c r="B749" s="4" t="s">
        <v>205</v>
      </c>
      <c r="D749" s="5">
        <v>14.65</v>
      </c>
      <c r="F749" s="4" t="s">
        <v>9</v>
      </c>
      <c r="G749" s="4" t="s">
        <v>4507</v>
      </c>
      <c r="H749" s="6" t="s">
        <v>11</v>
      </c>
    </row>
    <row r="750" spans="1:8" x14ac:dyDescent="0.25">
      <c r="A750" s="4" t="s">
        <v>4790</v>
      </c>
      <c r="B750" s="4" t="s">
        <v>205</v>
      </c>
      <c r="F750" s="4" t="s">
        <v>9</v>
      </c>
      <c r="G750" s="4" t="s">
        <v>4791</v>
      </c>
      <c r="H750" s="6" t="s">
        <v>11</v>
      </c>
    </row>
    <row r="751" spans="1:8" x14ac:dyDescent="0.25">
      <c r="A751" s="4" t="s">
        <v>4792</v>
      </c>
      <c r="B751" s="4" t="s">
        <v>205</v>
      </c>
      <c r="D751" s="5">
        <v>25.92</v>
      </c>
      <c r="F751" s="4" t="s">
        <v>9</v>
      </c>
      <c r="G751" s="4" t="s">
        <v>4793</v>
      </c>
      <c r="H751" s="6" t="s">
        <v>11</v>
      </c>
    </row>
    <row r="752" spans="1:8" x14ac:dyDescent="0.25">
      <c r="A752" s="4" t="s">
        <v>23</v>
      </c>
      <c r="B752" s="4" t="s">
        <v>25</v>
      </c>
      <c r="C752" s="5">
        <v>45</v>
      </c>
      <c r="D752" s="5">
        <v>4.8899999999999997</v>
      </c>
      <c r="F752" s="4" t="s">
        <v>9</v>
      </c>
      <c r="G752" s="4" t="s">
        <v>26</v>
      </c>
      <c r="H752" s="6" t="s">
        <v>11</v>
      </c>
    </row>
    <row r="753" spans="1:8" x14ac:dyDescent="0.25">
      <c r="A753" s="4" t="s">
        <v>27</v>
      </c>
      <c r="B753" s="4" t="s">
        <v>25</v>
      </c>
      <c r="C753" s="5">
        <v>35</v>
      </c>
      <c r="D753" s="5">
        <v>4.8899999999999997</v>
      </c>
      <c r="F753" s="4" t="s">
        <v>9</v>
      </c>
      <c r="G753" s="4" t="s">
        <v>28</v>
      </c>
      <c r="H753" s="6" t="s">
        <v>11</v>
      </c>
    </row>
    <row r="754" spans="1:8" x14ac:dyDescent="0.25">
      <c r="A754" s="4" t="str">
        <f>"DOUBLE SUBLIME ESPECIAIS "</f>
        <v xml:space="preserve">DOUBLE SUBLIME ESPECIAIS </v>
      </c>
      <c r="B754" s="4" t="s">
        <v>25</v>
      </c>
      <c r="C754" s="5">
        <v>45</v>
      </c>
      <c r="D754" s="5">
        <v>3.74</v>
      </c>
      <c r="F754" s="4" t="s">
        <v>9</v>
      </c>
      <c r="G754" s="4" t="s">
        <v>2812</v>
      </c>
      <c r="H754" s="6" t="s">
        <v>11</v>
      </c>
    </row>
    <row r="755" spans="1:8" x14ac:dyDescent="0.25">
      <c r="A755" s="4" t="str">
        <f>"DOUBLE SUBLIME PILSEN "</f>
        <v xml:space="preserve">DOUBLE SUBLIME PILSEN </v>
      </c>
      <c r="B755" s="4" t="s">
        <v>25</v>
      </c>
      <c r="C755" s="5">
        <v>35</v>
      </c>
      <c r="D755" s="5">
        <v>3.74</v>
      </c>
      <c r="F755" s="4" t="s">
        <v>9</v>
      </c>
      <c r="G755" s="4" t="s">
        <v>2813</v>
      </c>
      <c r="H755" s="6" t="s">
        <v>11</v>
      </c>
    </row>
    <row r="756" spans="1:8" x14ac:dyDescent="0.25">
      <c r="A756" s="4" t="str">
        <f>"DOUBLE THE OFFSPRING ESPECIAIS "</f>
        <v xml:space="preserve">DOUBLE THE OFFSPRING ESPECIAIS </v>
      </c>
      <c r="B756" s="4" t="s">
        <v>25</v>
      </c>
      <c r="C756" s="5">
        <v>45</v>
      </c>
      <c r="D756" s="5">
        <v>3.74</v>
      </c>
      <c r="F756" s="4" t="s">
        <v>9</v>
      </c>
      <c r="G756" s="4" t="s">
        <v>2814</v>
      </c>
      <c r="H756" s="6" t="s">
        <v>11</v>
      </c>
    </row>
    <row r="757" spans="1:8" x14ac:dyDescent="0.25">
      <c r="A757" s="4" t="s">
        <v>2815</v>
      </c>
      <c r="B757" s="4" t="s">
        <v>25</v>
      </c>
      <c r="C757" s="5">
        <v>35</v>
      </c>
      <c r="D757" s="5">
        <v>3.74</v>
      </c>
      <c r="F757" s="4" t="s">
        <v>9</v>
      </c>
      <c r="G757" s="4" t="s">
        <v>2816</v>
      </c>
      <c r="H757" s="6" t="s">
        <v>11</v>
      </c>
    </row>
    <row r="758" spans="1:8" x14ac:dyDescent="0.25">
      <c r="A758" s="4" t="s">
        <v>160</v>
      </c>
      <c r="B758" s="4" t="s">
        <v>161</v>
      </c>
      <c r="D758" s="5">
        <v>74.84</v>
      </c>
      <c r="F758" s="4" t="s">
        <v>59</v>
      </c>
      <c r="G758" s="4" t="s">
        <v>162</v>
      </c>
      <c r="H758" s="6" t="s">
        <v>11</v>
      </c>
    </row>
    <row r="759" spans="1:8" x14ac:dyDescent="0.25">
      <c r="A759" s="4" t="s">
        <v>163</v>
      </c>
      <c r="B759" s="4" t="s">
        <v>161</v>
      </c>
      <c r="D759" s="5">
        <v>91.93</v>
      </c>
      <c r="F759" s="4" t="s">
        <v>59</v>
      </c>
      <c r="G759" s="4" t="s">
        <v>164</v>
      </c>
      <c r="H759" s="6" t="s">
        <v>11</v>
      </c>
    </row>
    <row r="760" spans="1:8" x14ac:dyDescent="0.25">
      <c r="A760" s="4" t="str">
        <f>"APERITIVO UNDERBERG - ESTOQUE TAP "</f>
        <v xml:space="preserve">APERITIVO UNDERBERG - ESTOQUE TAP </v>
      </c>
      <c r="B760" s="4" t="s">
        <v>161</v>
      </c>
      <c r="D760" s="5">
        <v>55.6</v>
      </c>
      <c r="F760" s="4" t="s">
        <v>59</v>
      </c>
      <c r="G760" s="4" t="s">
        <v>166</v>
      </c>
      <c r="H760" s="6" t="s">
        <v>11</v>
      </c>
    </row>
    <row r="761" spans="1:8" x14ac:dyDescent="0.25">
      <c r="A761" s="4" t="s">
        <v>167</v>
      </c>
      <c r="B761" s="4" t="s">
        <v>161</v>
      </c>
      <c r="D761" s="5">
        <v>55.47</v>
      </c>
      <c r="E761" s="5">
        <v>11.15</v>
      </c>
      <c r="F761" s="4" t="s">
        <v>59</v>
      </c>
      <c r="G761" s="4" t="s">
        <v>168</v>
      </c>
      <c r="H761" s="6" t="s">
        <v>11</v>
      </c>
    </row>
    <row r="762" spans="1:8" x14ac:dyDescent="0.25">
      <c r="A762" s="4" t="str">
        <f>"BAG 5L CAIÇARA BRAZIL FIRE   - ESTOQUE TAP "</f>
        <v xml:space="preserve">BAG 5L CAIÇARA BRAZIL FIRE   - ESTOQUE TAP </v>
      </c>
      <c r="B762" s="4" t="s">
        <v>161</v>
      </c>
      <c r="D762" s="5">
        <v>156.44</v>
      </c>
      <c r="F762" s="4" t="s">
        <v>59</v>
      </c>
      <c r="G762" s="4" t="s">
        <v>231</v>
      </c>
      <c r="H762" s="6" t="s">
        <v>11</v>
      </c>
    </row>
    <row r="763" spans="1:8" x14ac:dyDescent="0.25">
      <c r="A763" s="4" t="str">
        <f>"BAG 5L JAMBU CAICARA BRAZIL- ESTOQUE TAP "</f>
        <v xml:space="preserve">BAG 5L JAMBU CAICARA BRAZIL- ESTOQUE TAP </v>
      </c>
      <c r="B763" s="4" t="s">
        <v>161</v>
      </c>
      <c r="D763" s="5">
        <v>42</v>
      </c>
      <c r="F763" s="4" t="s">
        <v>59</v>
      </c>
      <c r="G763" s="4" t="s">
        <v>232</v>
      </c>
      <c r="H763" s="6" t="s">
        <v>11</v>
      </c>
    </row>
    <row r="764" spans="1:8" x14ac:dyDescent="0.25">
      <c r="A764" s="4" t="s">
        <v>389</v>
      </c>
      <c r="B764" s="4" t="s">
        <v>161</v>
      </c>
      <c r="D764" s="5">
        <v>139.83000000000001</v>
      </c>
      <c r="F764" s="4" t="s">
        <v>59</v>
      </c>
      <c r="G764" s="4" t="s">
        <v>390</v>
      </c>
      <c r="H764" s="6" t="s">
        <v>11</v>
      </c>
    </row>
    <row r="765" spans="1:8" x14ac:dyDescent="0.25">
      <c r="A765" s="4" t="s">
        <v>430</v>
      </c>
      <c r="B765" s="4" t="s">
        <v>161</v>
      </c>
      <c r="D765" s="5">
        <v>86.87</v>
      </c>
      <c r="F765" s="4" t="s">
        <v>59</v>
      </c>
      <c r="G765" s="4" t="s">
        <v>431</v>
      </c>
      <c r="H765" s="6" t="s">
        <v>11</v>
      </c>
    </row>
    <row r="766" spans="1:8" x14ac:dyDescent="0.25">
      <c r="A766" s="4" t="str">
        <f>"CACHACA JAMBU DA IMBUIA CURUPIRA - ESTOQUE TAP "</f>
        <v xml:space="preserve">CACHACA JAMBU DA IMBUIA CURUPIRA - ESTOQUE TAP </v>
      </c>
      <c r="B766" s="4" t="s">
        <v>161</v>
      </c>
      <c r="D766" s="5">
        <v>78.72</v>
      </c>
      <c r="F766" s="4" t="s">
        <v>59</v>
      </c>
      <c r="G766" s="4" t="s">
        <v>432</v>
      </c>
      <c r="H766" s="6" t="s">
        <v>11</v>
      </c>
    </row>
    <row r="767" spans="1:8" x14ac:dyDescent="0.25">
      <c r="A767" s="4" t="str">
        <f>"CACHACA MISTA TRIVISAN JAMBU - ESTOQUE TAP "</f>
        <v xml:space="preserve">CACHACA MISTA TRIVISAN JAMBU - ESTOQUE TAP </v>
      </c>
      <c r="B767" s="4" t="s">
        <v>161</v>
      </c>
      <c r="D767" s="5">
        <v>86.67</v>
      </c>
      <c r="F767" s="4" t="s">
        <v>59</v>
      </c>
      <c r="G767" s="4" t="s">
        <v>433</v>
      </c>
      <c r="H767" s="6" t="s">
        <v>11</v>
      </c>
    </row>
    <row r="768" spans="1:8" x14ac:dyDescent="0.25">
      <c r="A768" s="4" t="s">
        <v>434</v>
      </c>
      <c r="B768" s="4" t="s">
        <v>161</v>
      </c>
      <c r="D768" s="5">
        <v>98.82</v>
      </c>
      <c r="E768" s="5">
        <v>9.8000000000000007</v>
      </c>
      <c r="F768" s="4" t="s">
        <v>59</v>
      </c>
      <c r="G768" s="4" t="s">
        <v>435</v>
      </c>
      <c r="H768" s="6" t="s">
        <v>11</v>
      </c>
    </row>
    <row r="769" spans="1:8" x14ac:dyDescent="0.25">
      <c r="A769" s="4" t="s">
        <v>436</v>
      </c>
      <c r="B769" s="4" t="s">
        <v>161</v>
      </c>
      <c r="D769" s="5">
        <v>57.75</v>
      </c>
      <c r="E769" s="5">
        <v>7.2</v>
      </c>
      <c r="F769" s="4" t="s">
        <v>59</v>
      </c>
      <c r="G769" s="4" t="s">
        <v>437</v>
      </c>
      <c r="H769" s="6" t="s">
        <v>11</v>
      </c>
    </row>
    <row r="770" spans="1:8" x14ac:dyDescent="0.25">
      <c r="A770" s="4" t="str">
        <f>"CACHACA TRIVISAN BRANCA  600ML - ESTOQUE TAP "</f>
        <v xml:space="preserve">CACHACA TRIVISAN BRANCA  600ML - ESTOQUE TAP </v>
      </c>
      <c r="B770" s="4" t="s">
        <v>161</v>
      </c>
      <c r="D770" s="5">
        <v>54.17</v>
      </c>
      <c r="F770" s="4" t="s">
        <v>59</v>
      </c>
      <c r="G770" s="4" t="s">
        <v>438</v>
      </c>
      <c r="H770" s="6" t="s">
        <v>11</v>
      </c>
    </row>
    <row r="771" spans="1:8" x14ac:dyDescent="0.25">
      <c r="A771" s="4" t="str">
        <f>"CACHACA TRIVISAN SASSAFRAZ - ESTOQUE TAP "</f>
        <v xml:space="preserve">CACHACA TRIVISAN SASSAFRAZ - ESTOQUE TAP </v>
      </c>
      <c r="B771" s="4" t="s">
        <v>161</v>
      </c>
      <c r="D771" s="5">
        <v>113.33</v>
      </c>
      <c r="F771" s="4" t="s">
        <v>59</v>
      </c>
      <c r="G771" s="4" t="s">
        <v>439</v>
      </c>
      <c r="H771" s="6" t="s">
        <v>11</v>
      </c>
    </row>
    <row r="772" spans="1:8" x14ac:dyDescent="0.25">
      <c r="A772" s="4" t="s">
        <v>440</v>
      </c>
      <c r="B772" s="4" t="s">
        <v>161</v>
      </c>
      <c r="D772" s="5">
        <v>50.32</v>
      </c>
      <c r="E772" s="5">
        <v>3.84</v>
      </c>
      <c r="F772" s="4" t="s">
        <v>59</v>
      </c>
      <c r="G772" s="4" t="s">
        <v>441</v>
      </c>
      <c r="H772" s="6" t="s">
        <v>11</v>
      </c>
    </row>
    <row r="773" spans="1:8" x14ac:dyDescent="0.25">
      <c r="A773" s="4" t="s">
        <v>446</v>
      </c>
      <c r="B773" s="4" t="s">
        <v>161</v>
      </c>
      <c r="D773" s="5">
        <v>52.01</v>
      </c>
      <c r="E773" s="5">
        <v>14.895</v>
      </c>
      <c r="F773" s="4" t="s">
        <v>59</v>
      </c>
      <c r="G773" s="4" t="s">
        <v>447</v>
      </c>
      <c r="H773" s="6" t="s">
        <v>11</v>
      </c>
    </row>
    <row r="774" spans="1:8" x14ac:dyDescent="0.25">
      <c r="A774" s="4" t="str">
        <f>"CAIÇARA BRAZIL FIRE  - ESTOQUE TAP "</f>
        <v xml:space="preserve">CAIÇARA BRAZIL FIRE  - ESTOQUE TAP </v>
      </c>
      <c r="B774" s="4" t="s">
        <v>161</v>
      </c>
      <c r="D774" s="5">
        <v>89.41</v>
      </c>
      <c r="F774" s="4" t="s">
        <v>59</v>
      </c>
      <c r="G774" s="4" t="s">
        <v>479</v>
      </c>
      <c r="H774" s="6" t="s">
        <v>11</v>
      </c>
    </row>
    <row r="775" spans="1:8" x14ac:dyDescent="0.25">
      <c r="A775" s="4" t="s">
        <v>646</v>
      </c>
      <c r="B775" s="4" t="s">
        <v>161</v>
      </c>
      <c r="D775" s="5">
        <v>54.65</v>
      </c>
      <c r="E775" s="5">
        <v>10.8</v>
      </c>
      <c r="F775" s="4" t="s">
        <v>59</v>
      </c>
      <c r="G775" s="4" t="s">
        <v>647</v>
      </c>
      <c r="H775" s="6" t="s">
        <v>11</v>
      </c>
    </row>
    <row r="776" spans="1:8" x14ac:dyDescent="0.25">
      <c r="A776" s="4" t="s">
        <v>2318</v>
      </c>
      <c r="B776" s="4" t="s">
        <v>161</v>
      </c>
      <c r="D776" s="5">
        <v>35</v>
      </c>
      <c r="F776" s="4" t="s">
        <v>59</v>
      </c>
      <c r="G776" s="4" t="s">
        <v>2319</v>
      </c>
      <c r="H776" s="6" t="s">
        <v>11</v>
      </c>
    </row>
    <row r="777" spans="1:8" x14ac:dyDescent="0.25">
      <c r="A777" s="4" t="s">
        <v>2320</v>
      </c>
      <c r="B777" s="4" t="s">
        <v>161</v>
      </c>
      <c r="D777" s="5">
        <v>18.78</v>
      </c>
      <c r="F777" s="4" t="s">
        <v>59</v>
      </c>
      <c r="G777" s="4" t="s">
        <v>2321</v>
      </c>
      <c r="H777" s="6" t="s">
        <v>11</v>
      </c>
    </row>
    <row r="778" spans="1:8" x14ac:dyDescent="0.25">
      <c r="A778" s="4" t="s">
        <v>2447</v>
      </c>
      <c r="B778" s="4" t="s">
        <v>161</v>
      </c>
      <c r="D778" s="5">
        <v>21.49</v>
      </c>
      <c r="F778" s="4" t="s">
        <v>59</v>
      </c>
      <c r="G778" s="4" t="s">
        <v>2448</v>
      </c>
      <c r="H778" s="6" t="s">
        <v>11</v>
      </c>
    </row>
    <row r="779" spans="1:8" x14ac:dyDescent="0.25">
      <c r="A779" s="4" t="s">
        <v>2922</v>
      </c>
      <c r="B779" s="4" t="s">
        <v>161</v>
      </c>
      <c r="D779" s="5">
        <v>31.7</v>
      </c>
      <c r="E779" s="5">
        <v>1.5</v>
      </c>
      <c r="F779" s="4" t="s">
        <v>59</v>
      </c>
      <c r="G779" s="4" t="s">
        <v>2923</v>
      </c>
      <c r="H779" s="6" t="s">
        <v>11</v>
      </c>
    </row>
    <row r="780" spans="1:8" x14ac:dyDescent="0.25">
      <c r="A780" s="4" t="str">
        <f>"ESPUMANTE GARIBALDI ZERO ALCOOL - ESTOQUE TAP "</f>
        <v xml:space="preserve">ESPUMANTE GARIBALDI ZERO ALCOOL - ESTOQUE TAP </v>
      </c>
      <c r="B780" s="4" t="s">
        <v>161</v>
      </c>
      <c r="D780" s="5">
        <v>0.04</v>
      </c>
      <c r="F780" s="4" t="s">
        <v>59</v>
      </c>
      <c r="G780" s="4" t="s">
        <v>2924</v>
      </c>
      <c r="H780" s="6" t="s">
        <v>11</v>
      </c>
    </row>
    <row r="781" spans="1:8" x14ac:dyDescent="0.25">
      <c r="A781" s="4" t="s">
        <v>2945</v>
      </c>
      <c r="B781" s="4" t="s">
        <v>161</v>
      </c>
      <c r="D781" s="5">
        <v>43.87</v>
      </c>
      <c r="F781" s="4" t="s">
        <v>59</v>
      </c>
      <c r="G781" s="4" t="s">
        <v>2946</v>
      </c>
      <c r="H781" s="6" t="s">
        <v>11</v>
      </c>
    </row>
    <row r="782" spans="1:8" x14ac:dyDescent="0.25">
      <c r="A782" s="4" t="s">
        <v>2984</v>
      </c>
      <c r="B782" s="4" t="s">
        <v>161</v>
      </c>
      <c r="D782" s="5">
        <v>151.4</v>
      </c>
      <c r="F782" s="4" t="s">
        <v>59</v>
      </c>
      <c r="G782" s="4" t="s">
        <v>2985</v>
      </c>
      <c r="H782" s="6" t="s">
        <v>11</v>
      </c>
    </row>
    <row r="783" spans="1:8" x14ac:dyDescent="0.25">
      <c r="A783" s="4" t="str">
        <f>"FIRE LICOR FINO CAIÇARA BRAZIL - ESTOQUE TAP "</f>
        <v xml:space="preserve">FIRE LICOR FINO CAIÇARA BRAZIL - ESTOQUE TAP </v>
      </c>
      <c r="B783" s="4" t="s">
        <v>161</v>
      </c>
      <c r="D783" s="5">
        <v>74.67</v>
      </c>
      <c r="F783" s="4" t="s">
        <v>59</v>
      </c>
      <c r="G783" s="4" t="s">
        <v>3008</v>
      </c>
      <c r="H783" s="6" t="s">
        <v>11</v>
      </c>
    </row>
    <row r="784" spans="1:8" x14ac:dyDescent="0.25">
      <c r="A784" s="4" t="s">
        <v>3115</v>
      </c>
      <c r="B784" s="4" t="s">
        <v>161</v>
      </c>
      <c r="D784" s="5">
        <v>83.55</v>
      </c>
      <c r="F784" s="4" t="s">
        <v>59</v>
      </c>
      <c r="G784" s="4" t="s">
        <v>3116</v>
      </c>
      <c r="H784" s="6" t="s">
        <v>11</v>
      </c>
    </row>
    <row r="785" spans="1:8" x14ac:dyDescent="0.25">
      <c r="A785" s="4" t="s">
        <v>3117</v>
      </c>
      <c r="B785" s="4" t="s">
        <v>161</v>
      </c>
      <c r="C785" s="5">
        <v>90</v>
      </c>
      <c r="D785" s="5">
        <v>97.39</v>
      </c>
      <c r="F785" s="4" t="str">
        <f>"UN "</f>
        <v xml:space="preserve">UN </v>
      </c>
      <c r="G785" s="4" t="s">
        <v>3118</v>
      </c>
      <c r="H785" s="6" t="s">
        <v>11</v>
      </c>
    </row>
    <row r="786" spans="1:8" x14ac:dyDescent="0.25">
      <c r="A786" s="4" t="s">
        <v>3125</v>
      </c>
      <c r="B786" s="4" t="s">
        <v>161</v>
      </c>
      <c r="D786" s="5">
        <v>103.25</v>
      </c>
      <c r="F786" s="4" t="s">
        <v>59</v>
      </c>
      <c r="G786" s="4" t="s">
        <v>3126</v>
      </c>
      <c r="H786" s="6" t="s">
        <v>11</v>
      </c>
    </row>
    <row r="787" spans="1:8" x14ac:dyDescent="0.25">
      <c r="A787" s="4" t="s">
        <v>3127</v>
      </c>
      <c r="B787" s="4" t="s">
        <v>161</v>
      </c>
      <c r="D787" s="5">
        <v>98.5</v>
      </c>
      <c r="F787" s="4" t="s">
        <v>59</v>
      </c>
      <c r="G787" s="4" t="s">
        <v>3128</v>
      </c>
      <c r="H787" s="6" t="s">
        <v>11</v>
      </c>
    </row>
    <row r="788" spans="1:8" x14ac:dyDescent="0.25">
      <c r="A788" s="4" t="s">
        <v>3131</v>
      </c>
      <c r="B788" s="4" t="s">
        <v>161</v>
      </c>
      <c r="D788" s="5">
        <v>89.13</v>
      </c>
      <c r="F788" s="4" t="s">
        <v>59</v>
      </c>
      <c r="G788" s="4" t="s">
        <v>3132</v>
      </c>
      <c r="H788" s="6" t="s">
        <v>11</v>
      </c>
    </row>
    <row r="789" spans="1:8" x14ac:dyDescent="0.25">
      <c r="A789" s="4" t="s">
        <v>3133</v>
      </c>
      <c r="B789" s="4" t="s">
        <v>161</v>
      </c>
      <c r="D789" s="5">
        <v>72.09</v>
      </c>
      <c r="F789" s="4" t="s">
        <v>59</v>
      </c>
      <c r="G789" s="4" t="s">
        <v>3134</v>
      </c>
      <c r="H789" s="6" t="s">
        <v>11</v>
      </c>
    </row>
    <row r="790" spans="1:8" x14ac:dyDescent="0.25">
      <c r="A790" s="4" t="s">
        <v>3135</v>
      </c>
      <c r="B790" s="4" t="s">
        <v>161</v>
      </c>
      <c r="D790" s="5">
        <v>129.5</v>
      </c>
      <c r="E790" s="5">
        <v>81.569999999999993</v>
      </c>
      <c r="F790" s="4" t="s">
        <v>59</v>
      </c>
      <c r="G790" s="4" t="s">
        <v>3136</v>
      </c>
      <c r="H790" s="6" t="s">
        <v>11</v>
      </c>
    </row>
    <row r="791" spans="1:8" x14ac:dyDescent="0.25">
      <c r="A791" s="4" t="str">
        <f>"GIN TANQUERAY N10 - ESTOQUE TAP "</f>
        <v xml:space="preserve">GIN TANQUERAY N10 - ESTOQUE TAP </v>
      </c>
      <c r="B791" s="4" t="s">
        <v>161</v>
      </c>
      <c r="D791" s="5">
        <v>133.24</v>
      </c>
      <c r="F791" s="4" t="s">
        <v>59</v>
      </c>
      <c r="G791" s="4" t="s">
        <v>3139</v>
      </c>
      <c r="H791" s="6" t="s">
        <v>11</v>
      </c>
    </row>
    <row r="792" spans="1:8" x14ac:dyDescent="0.25">
      <c r="A792" s="4" t="s">
        <v>3174</v>
      </c>
      <c r="B792" s="4" t="s">
        <v>161</v>
      </c>
      <c r="F792" s="4" t="s">
        <v>59</v>
      </c>
      <c r="G792" s="4" t="s">
        <v>3175</v>
      </c>
      <c r="H792" s="6" t="s">
        <v>11</v>
      </c>
    </row>
    <row r="793" spans="1:8" x14ac:dyDescent="0.25">
      <c r="A793" s="4" t="s">
        <v>3176</v>
      </c>
      <c r="B793" s="4" t="s">
        <v>161</v>
      </c>
      <c r="F793" s="4" t="s">
        <v>9</v>
      </c>
      <c r="G793" s="4" t="s">
        <v>3177</v>
      </c>
      <c r="H793" s="6" t="s">
        <v>11</v>
      </c>
    </row>
    <row r="794" spans="1:8" x14ac:dyDescent="0.25">
      <c r="A794" s="4" t="s">
        <v>3178</v>
      </c>
      <c r="B794" s="4" t="s">
        <v>161</v>
      </c>
      <c r="F794" s="4" t="s">
        <v>59</v>
      </c>
      <c r="G794" s="4" t="s">
        <v>3179</v>
      </c>
      <c r="H794" s="6" t="s">
        <v>11</v>
      </c>
    </row>
    <row r="795" spans="1:8" x14ac:dyDescent="0.25">
      <c r="A795" s="4" t="str">
        <f>"JAMBU CAICARA 750ML - ESTOQUE TAP "</f>
        <v xml:space="preserve">JAMBU CAICARA 750ML - ESTOQUE TAP </v>
      </c>
      <c r="B795" s="4" t="s">
        <v>161</v>
      </c>
      <c r="D795" s="5">
        <v>56</v>
      </c>
      <c r="F795" s="4" t="s">
        <v>59</v>
      </c>
      <c r="G795" s="4" t="s">
        <v>3235</v>
      </c>
      <c r="H795" s="6" t="s">
        <v>11</v>
      </c>
    </row>
    <row r="796" spans="1:8" x14ac:dyDescent="0.25">
      <c r="A796" s="4" t="s">
        <v>3295</v>
      </c>
      <c r="B796" s="4" t="s">
        <v>161</v>
      </c>
      <c r="D796" s="5">
        <v>185.85</v>
      </c>
      <c r="E796" s="5">
        <v>12.6</v>
      </c>
      <c r="F796" s="4" t="s">
        <v>59</v>
      </c>
      <c r="G796" s="4" t="s">
        <v>3296</v>
      </c>
      <c r="H796" s="6" t="s">
        <v>11</v>
      </c>
    </row>
    <row r="797" spans="1:8" x14ac:dyDescent="0.25">
      <c r="A797" s="4" t="s">
        <v>3297</v>
      </c>
      <c r="B797" s="4" t="s">
        <v>161</v>
      </c>
      <c r="D797" s="5">
        <v>99.86</v>
      </c>
      <c r="E797" s="5">
        <v>-1.92</v>
      </c>
      <c r="F797" s="4" t="s">
        <v>59</v>
      </c>
      <c r="G797" s="4" t="s">
        <v>3298</v>
      </c>
      <c r="H797" s="6" t="s">
        <v>11</v>
      </c>
    </row>
    <row r="798" spans="1:8" x14ac:dyDescent="0.25">
      <c r="A798" s="4" t="s">
        <v>3299</v>
      </c>
      <c r="B798" s="4" t="s">
        <v>161</v>
      </c>
      <c r="D798" s="5">
        <v>119.87</v>
      </c>
      <c r="F798" s="4" t="s">
        <v>59</v>
      </c>
      <c r="G798" s="4" t="s">
        <v>3300</v>
      </c>
      <c r="H798" s="6" t="s">
        <v>11</v>
      </c>
    </row>
    <row r="799" spans="1:8" x14ac:dyDescent="0.25">
      <c r="A799" s="4" t="s">
        <v>3303</v>
      </c>
      <c r="B799" s="4" t="s">
        <v>161</v>
      </c>
      <c r="D799" s="5">
        <v>139.51</v>
      </c>
      <c r="F799" s="4" t="s">
        <v>59</v>
      </c>
      <c r="G799" s="4" t="s">
        <v>3304</v>
      </c>
      <c r="H799" s="6" t="s">
        <v>11</v>
      </c>
    </row>
    <row r="800" spans="1:8" x14ac:dyDescent="0.25">
      <c r="A800" s="4" t="s">
        <v>3305</v>
      </c>
      <c r="B800" s="4" t="s">
        <v>161</v>
      </c>
      <c r="D800" s="5">
        <v>34.51</v>
      </c>
      <c r="F800" s="4" t="s">
        <v>59</v>
      </c>
      <c r="G800" s="4" t="s">
        <v>3306</v>
      </c>
      <c r="H800" s="6" t="s">
        <v>11</v>
      </c>
    </row>
    <row r="801" spans="1:8" x14ac:dyDescent="0.25">
      <c r="A801" s="4" t="s">
        <v>3307</v>
      </c>
      <c r="B801" s="4" t="s">
        <v>161</v>
      </c>
      <c r="D801" s="5">
        <v>173.09</v>
      </c>
      <c r="E801" s="5">
        <v>2.1</v>
      </c>
      <c r="F801" s="4" t="s">
        <v>59</v>
      </c>
      <c r="G801" s="4" t="s">
        <v>3308</v>
      </c>
      <c r="H801" s="6" t="s">
        <v>11</v>
      </c>
    </row>
    <row r="802" spans="1:8" x14ac:dyDescent="0.25">
      <c r="A802" s="4" t="s">
        <v>3309</v>
      </c>
      <c r="B802" s="4" t="s">
        <v>161</v>
      </c>
      <c r="F802" s="4" t="s">
        <v>59</v>
      </c>
      <c r="G802" s="4" t="s">
        <v>3310</v>
      </c>
      <c r="H802" s="6" t="s">
        <v>11</v>
      </c>
    </row>
    <row r="803" spans="1:8" x14ac:dyDescent="0.25">
      <c r="A803" s="4" t="s">
        <v>3312</v>
      </c>
      <c r="B803" s="4" t="s">
        <v>161</v>
      </c>
      <c r="D803" s="5">
        <v>243.75</v>
      </c>
      <c r="F803" s="4" t="s">
        <v>59</v>
      </c>
      <c r="G803" s="4" t="s">
        <v>3313</v>
      </c>
      <c r="H803" s="6" t="s">
        <v>11</v>
      </c>
    </row>
    <row r="804" spans="1:8" x14ac:dyDescent="0.25">
      <c r="A804" s="4" t="s">
        <v>3314</v>
      </c>
      <c r="B804" s="4" t="s">
        <v>161</v>
      </c>
      <c r="D804" s="5">
        <v>142.66999999999999</v>
      </c>
      <c r="E804" s="5">
        <v>8.4</v>
      </c>
      <c r="F804" s="4" t="s">
        <v>59</v>
      </c>
      <c r="G804" s="4" t="s">
        <v>3315</v>
      </c>
      <c r="H804" s="6" t="s">
        <v>11</v>
      </c>
    </row>
    <row r="805" spans="1:8" x14ac:dyDescent="0.25">
      <c r="A805" s="4" t="str">
        <f>"LICOR MUSA LICHIA 750ML - ESTOQUE TAP "</f>
        <v xml:space="preserve">LICOR MUSA LICHIA 750ML - ESTOQUE TAP </v>
      </c>
      <c r="B805" s="4" t="s">
        <v>161</v>
      </c>
      <c r="D805" s="5">
        <v>133.33000000000001</v>
      </c>
      <c r="F805" s="4" t="s">
        <v>59</v>
      </c>
      <c r="G805" s="4" t="s">
        <v>3316</v>
      </c>
      <c r="H805" s="6" t="s">
        <v>11</v>
      </c>
    </row>
    <row r="806" spans="1:8" x14ac:dyDescent="0.25">
      <c r="A806" s="4" t="s">
        <v>3317</v>
      </c>
      <c r="B806" s="4" t="s">
        <v>161</v>
      </c>
      <c r="D806" s="5">
        <v>216.77</v>
      </c>
      <c r="E806" s="5">
        <v>1.4</v>
      </c>
      <c r="F806" s="4" t="s">
        <v>59</v>
      </c>
      <c r="G806" s="4" t="s">
        <v>3318</v>
      </c>
      <c r="H806" s="6" t="s">
        <v>11</v>
      </c>
    </row>
    <row r="807" spans="1:8" x14ac:dyDescent="0.25">
      <c r="A807" s="4" t="s">
        <v>3319</v>
      </c>
      <c r="B807" s="4" t="s">
        <v>161</v>
      </c>
      <c r="D807" s="5">
        <v>206.22</v>
      </c>
      <c r="E807" s="5">
        <v>0.75</v>
      </c>
      <c r="F807" s="4" t="s">
        <v>59</v>
      </c>
      <c r="G807" s="4" t="s">
        <v>3320</v>
      </c>
      <c r="H807" s="6" t="s">
        <v>11</v>
      </c>
    </row>
    <row r="808" spans="1:8" x14ac:dyDescent="0.25">
      <c r="A808" s="4" t="s">
        <v>3321</v>
      </c>
      <c r="B808" s="4" t="s">
        <v>161</v>
      </c>
      <c r="D808" s="5">
        <v>55.42</v>
      </c>
      <c r="F808" s="4" t="s">
        <v>59</v>
      </c>
      <c r="G808" s="4" t="s">
        <v>3322</v>
      </c>
      <c r="H808" s="6" t="s">
        <v>11</v>
      </c>
    </row>
    <row r="809" spans="1:8" x14ac:dyDescent="0.25">
      <c r="A809" s="4" t="str">
        <f>"LICOR STOCK CREME CAFE  - ESTOQUE "</f>
        <v xml:space="preserve">LICOR STOCK CREME CAFE  - ESTOQUE </v>
      </c>
      <c r="B809" s="4" t="s">
        <v>161</v>
      </c>
      <c r="D809" s="5">
        <v>59.58</v>
      </c>
      <c r="F809" s="4" t="s">
        <v>59</v>
      </c>
      <c r="G809" s="4" t="s">
        <v>3323</v>
      </c>
      <c r="H809" s="6" t="s">
        <v>11</v>
      </c>
    </row>
    <row r="810" spans="1:8" x14ac:dyDescent="0.25">
      <c r="A810" s="4" t="s">
        <v>3324</v>
      </c>
      <c r="B810" s="4" t="s">
        <v>161</v>
      </c>
      <c r="D810" s="5">
        <v>57.34</v>
      </c>
      <c r="F810" s="4" t="s">
        <v>59</v>
      </c>
      <c r="G810" s="4" t="s">
        <v>3325</v>
      </c>
      <c r="H810" s="6" t="s">
        <v>11</v>
      </c>
    </row>
    <row r="811" spans="1:8" x14ac:dyDescent="0.25">
      <c r="A811" s="4" t="s">
        <v>3382</v>
      </c>
      <c r="B811" s="4" t="s">
        <v>161</v>
      </c>
      <c r="F811" s="4" t="s">
        <v>59</v>
      </c>
      <c r="G811" s="4" t="s">
        <v>3383</v>
      </c>
      <c r="H811" s="6" t="s">
        <v>11</v>
      </c>
    </row>
    <row r="812" spans="1:8" x14ac:dyDescent="0.25">
      <c r="A812" s="4" t="s">
        <v>3384</v>
      </c>
      <c r="B812" s="4" t="s">
        <v>161</v>
      </c>
      <c r="F812" s="4" t="s">
        <v>59</v>
      </c>
      <c r="G812" s="4" t="s">
        <v>3385</v>
      </c>
      <c r="H812" s="6" t="s">
        <v>11</v>
      </c>
    </row>
    <row r="813" spans="1:8" x14ac:dyDescent="0.25">
      <c r="A813" s="4" t="s">
        <v>3386</v>
      </c>
      <c r="B813" s="4" t="s">
        <v>161</v>
      </c>
      <c r="F813" s="4" t="s">
        <v>59</v>
      </c>
      <c r="G813" s="4" t="s">
        <v>3387</v>
      </c>
      <c r="H813" s="6" t="s">
        <v>11</v>
      </c>
    </row>
    <row r="814" spans="1:8" x14ac:dyDescent="0.25">
      <c r="A814" s="4" t="s">
        <v>3388</v>
      </c>
      <c r="B814" s="4" t="s">
        <v>161</v>
      </c>
      <c r="F814" s="4" t="s">
        <v>9</v>
      </c>
      <c r="G814" s="4" t="s">
        <v>3389</v>
      </c>
      <c r="H814" s="6" t="s">
        <v>11</v>
      </c>
    </row>
    <row r="815" spans="1:8" x14ac:dyDescent="0.25">
      <c r="A815" s="4" t="s">
        <v>3458</v>
      </c>
      <c r="B815" s="4" t="s">
        <v>161</v>
      </c>
      <c r="F815" s="4" t="s">
        <v>59</v>
      </c>
      <c r="G815" s="4" t="s">
        <v>3459</v>
      </c>
      <c r="H815" s="6" t="s">
        <v>11</v>
      </c>
    </row>
    <row r="816" spans="1:8" x14ac:dyDescent="0.25">
      <c r="A816" s="4" t="s">
        <v>3460</v>
      </c>
      <c r="B816" s="4" t="s">
        <v>161</v>
      </c>
      <c r="D816" s="5">
        <v>52.9</v>
      </c>
      <c r="E816" s="5">
        <v>-0.09</v>
      </c>
      <c r="F816" s="4" t="s">
        <v>59</v>
      </c>
      <c r="G816" s="4" t="s">
        <v>3461</v>
      </c>
      <c r="H816" s="6" t="s">
        <v>11</v>
      </c>
    </row>
    <row r="817" spans="1:8" x14ac:dyDescent="0.25">
      <c r="A817" s="4" t="s">
        <v>3493</v>
      </c>
      <c r="B817" s="4" t="s">
        <v>161</v>
      </c>
      <c r="D817" s="5">
        <v>1.84</v>
      </c>
      <c r="F817" s="4" t="s">
        <v>59</v>
      </c>
      <c r="G817" s="4" t="s">
        <v>3494</v>
      </c>
      <c r="H817" s="6" t="s">
        <v>11</v>
      </c>
    </row>
    <row r="818" spans="1:8" x14ac:dyDescent="0.25">
      <c r="A818" s="4" t="str">
        <f>"MISTA TRIVISAN BANANA 750 ML - ESTOQUE TAP "</f>
        <v xml:space="preserve">MISTA TRIVISAN BANANA 750 ML - ESTOQUE TAP </v>
      </c>
      <c r="B818" s="4" t="s">
        <v>161</v>
      </c>
      <c r="C818" s="5">
        <v>160</v>
      </c>
      <c r="D818" s="5">
        <v>77.33</v>
      </c>
      <c r="F818" s="4" t="s">
        <v>59</v>
      </c>
      <c r="G818" s="4" t="s">
        <v>3501</v>
      </c>
      <c r="H818" s="6" t="s">
        <v>11</v>
      </c>
    </row>
    <row r="819" spans="1:8" x14ac:dyDescent="0.25">
      <c r="A819" s="4" t="str">
        <f>"PISCO CAPEL 40 - ESTOQUE TAP "</f>
        <v xml:space="preserve">PISCO CAPEL 40 - ESTOQUE TAP </v>
      </c>
      <c r="B819" s="4" t="s">
        <v>161</v>
      </c>
      <c r="D819" s="5">
        <v>127.68</v>
      </c>
      <c r="F819" s="4" t="s">
        <v>59</v>
      </c>
      <c r="G819" s="4" t="s">
        <v>4120</v>
      </c>
      <c r="H819" s="6" t="s">
        <v>11</v>
      </c>
    </row>
    <row r="820" spans="1:8" x14ac:dyDescent="0.25">
      <c r="A820" s="4" t="s">
        <v>4244</v>
      </c>
      <c r="B820" s="4" t="s">
        <v>161</v>
      </c>
      <c r="F820" s="4" t="s">
        <v>59</v>
      </c>
      <c r="G820" s="4" t="s">
        <v>4245</v>
      </c>
      <c r="H820" s="6" t="s">
        <v>11</v>
      </c>
    </row>
    <row r="821" spans="1:8" x14ac:dyDescent="0.25">
      <c r="A821" s="4" t="s">
        <v>4246</v>
      </c>
      <c r="B821" s="4" t="s">
        <v>161</v>
      </c>
      <c r="F821" s="4" t="s">
        <v>59</v>
      </c>
      <c r="G821" s="4" t="s">
        <v>4247</v>
      </c>
      <c r="H821" s="6" t="s">
        <v>11</v>
      </c>
    </row>
    <row r="822" spans="1:8" x14ac:dyDescent="0.25">
      <c r="A822" s="4" t="s">
        <v>4351</v>
      </c>
      <c r="B822" s="4" t="s">
        <v>161</v>
      </c>
      <c r="D822" s="5">
        <v>184.7</v>
      </c>
      <c r="E822" s="5">
        <v>6.75</v>
      </c>
      <c r="F822" s="4" t="s">
        <v>59</v>
      </c>
      <c r="G822" s="4" t="s">
        <v>4352</v>
      </c>
      <c r="H822" s="6" t="s">
        <v>11</v>
      </c>
    </row>
    <row r="823" spans="1:8" x14ac:dyDescent="0.25">
      <c r="A823" s="4" t="s">
        <v>4355</v>
      </c>
      <c r="B823" s="4" t="s">
        <v>161</v>
      </c>
      <c r="D823" s="5">
        <v>38.43</v>
      </c>
      <c r="E823" s="5">
        <v>11.76</v>
      </c>
      <c r="F823" s="4" t="s">
        <v>59</v>
      </c>
      <c r="G823" s="4" t="s">
        <v>4356</v>
      </c>
      <c r="H823" s="6" t="s">
        <v>11</v>
      </c>
    </row>
    <row r="824" spans="1:8" x14ac:dyDescent="0.25">
      <c r="A824" s="4" t="s">
        <v>4357</v>
      </c>
      <c r="B824" s="4" t="s">
        <v>161</v>
      </c>
      <c r="D824" s="5">
        <v>45.72</v>
      </c>
      <c r="E824" s="5">
        <v>3.09</v>
      </c>
      <c r="F824" s="4" t="s">
        <v>59</v>
      </c>
      <c r="G824" s="4" t="s">
        <v>4358</v>
      </c>
      <c r="H824" s="6" t="s">
        <v>11</v>
      </c>
    </row>
    <row r="825" spans="1:8" x14ac:dyDescent="0.25">
      <c r="A825" s="4" t="s">
        <v>4363</v>
      </c>
      <c r="B825" s="4" t="s">
        <v>161</v>
      </c>
      <c r="D825" s="5">
        <v>262.95999999999998</v>
      </c>
      <c r="F825" s="4" t="s">
        <v>59</v>
      </c>
      <c r="G825" s="4" t="s">
        <v>4364</v>
      </c>
      <c r="H825" s="6" t="s">
        <v>11</v>
      </c>
    </row>
    <row r="826" spans="1:8" x14ac:dyDescent="0.25">
      <c r="A826" s="4" t="s">
        <v>4391</v>
      </c>
      <c r="B826" s="4" t="s">
        <v>161</v>
      </c>
      <c r="F826" s="4" t="s">
        <v>59</v>
      </c>
      <c r="G826" s="4" t="s">
        <v>4392</v>
      </c>
      <c r="H826" s="6" t="s">
        <v>11</v>
      </c>
    </row>
    <row r="827" spans="1:8" x14ac:dyDescent="0.25">
      <c r="A827" s="4" t="s">
        <v>4393</v>
      </c>
      <c r="B827" s="4" t="s">
        <v>161</v>
      </c>
      <c r="F827" s="4" t="s">
        <v>59</v>
      </c>
      <c r="G827" s="4" t="s">
        <v>4394</v>
      </c>
      <c r="H827" s="6" t="s">
        <v>11</v>
      </c>
    </row>
    <row r="828" spans="1:8" x14ac:dyDescent="0.25">
      <c r="A828" s="4" t="s">
        <v>4565</v>
      </c>
      <c r="B828" s="4" t="s">
        <v>161</v>
      </c>
      <c r="F828" s="4" t="s">
        <v>9</v>
      </c>
      <c r="G828" s="4" t="s">
        <v>4566</v>
      </c>
      <c r="H828" s="6" t="s">
        <v>11</v>
      </c>
    </row>
    <row r="829" spans="1:8" x14ac:dyDescent="0.25">
      <c r="A829" s="4" t="s">
        <v>4632</v>
      </c>
      <c r="B829" s="4" t="s">
        <v>161</v>
      </c>
      <c r="D829" s="5">
        <v>139.87</v>
      </c>
      <c r="E829" s="5">
        <v>4.5</v>
      </c>
      <c r="F829" s="4" t="s">
        <v>59</v>
      </c>
      <c r="G829" s="4" t="s">
        <v>4633</v>
      </c>
      <c r="H829" s="6" t="s">
        <v>11</v>
      </c>
    </row>
    <row r="830" spans="1:8" x14ac:dyDescent="0.25">
      <c r="A830" s="4" t="s">
        <v>4634</v>
      </c>
      <c r="B830" s="4" t="s">
        <v>161</v>
      </c>
      <c r="D830" s="5">
        <v>143.19</v>
      </c>
      <c r="E830" s="5">
        <v>11.25</v>
      </c>
      <c r="F830" s="4" t="s">
        <v>59</v>
      </c>
      <c r="G830" s="4" t="s">
        <v>4635</v>
      </c>
      <c r="H830" s="6" t="s">
        <v>11</v>
      </c>
    </row>
    <row r="831" spans="1:8" x14ac:dyDescent="0.25">
      <c r="A831" s="4" t="s">
        <v>4636</v>
      </c>
      <c r="B831" s="4" t="s">
        <v>161</v>
      </c>
      <c r="D831" s="5">
        <v>171.81</v>
      </c>
      <c r="E831" s="5">
        <v>9.75</v>
      </c>
      <c r="F831" s="4" t="s">
        <v>59</v>
      </c>
      <c r="G831" s="4" t="s">
        <v>4637</v>
      </c>
      <c r="H831" s="6" t="s">
        <v>11</v>
      </c>
    </row>
    <row r="832" spans="1:8" x14ac:dyDescent="0.25">
      <c r="A832" s="4" t="s">
        <v>4638</v>
      </c>
      <c r="B832" s="4" t="s">
        <v>161</v>
      </c>
      <c r="D832" s="5">
        <v>237.32</v>
      </c>
      <c r="F832" s="4" t="s">
        <v>59</v>
      </c>
      <c r="G832" s="4" t="s">
        <v>4639</v>
      </c>
      <c r="H832" s="6" t="s">
        <v>11</v>
      </c>
    </row>
    <row r="833" spans="1:8" x14ac:dyDescent="0.25">
      <c r="A833" s="4" t="s">
        <v>4668</v>
      </c>
      <c r="B833" s="4" t="s">
        <v>161</v>
      </c>
      <c r="C833" s="5">
        <v>600</v>
      </c>
      <c r="D833" s="5">
        <v>63.26</v>
      </c>
      <c r="F833" s="4" t="s">
        <v>59</v>
      </c>
      <c r="G833" s="4" t="s">
        <v>4669</v>
      </c>
      <c r="H833" s="6" t="s">
        <v>11</v>
      </c>
    </row>
    <row r="834" spans="1:8" x14ac:dyDescent="0.25">
      <c r="A834" s="4" t="s">
        <v>4707</v>
      </c>
      <c r="B834" s="4" t="s">
        <v>161</v>
      </c>
      <c r="F834" s="4" t="s">
        <v>9</v>
      </c>
      <c r="G834" s="4" t="s">
        <v>4708</v>
      </c>
      <c r="H834" s="6" t="s">
        <v>11</v>
      </c>
    </row>
    <row r="835" spans="1:8" x14ac:dyDescent="0.25">
      <c r="A835" s="4" t="s">
        <v>4709</v>
      </c>
      <c r="B835" s="4" t="s">
        <v>161</v>
      </c>
      <c r="F835" s="4" t="s">
        <v>9</v>
      </c>
      <c r="G835" s="4" t="s">
        <v>4710</v>
      </c>
      <c r="H835" s="6" t="s">
        <v>11</v>
      </c>
    </row>
    <row r="836" spans="1:8" x14ac:dyDescent="0.25">
      <c r="A836" s="4" t="str">
        <f>"VERMOUTH CARPANO CLASSICO ROSSO  - ESTOQUE TAP "</f>
        <v xml:space="preserve">VERMOUTH CARPANO CLASSICO ROSSO  - ESTOQUE TAP </v>
      </c>
      <c r="B836" s="4" t="s">
        <v>161</v>
      </c>
      <c r="D836" s="5">
        <v>104.63</v>
      </c>
      <c r="F836" s="4" t="s">
        <v>59</v>
      </c>
      <c r="G836" s="4" t="s">
        <v>4721</v>
      </c>
      <c r="H836" s="6" t="s">
        <v>11</v>
      </c>
    </row>
    <row r="837" spans="1:8" x14ac:dyDescent="0.25">
      <c r="A837" s="4" t="s">
        <v>4722</v>
      </c>
      <c r="B837" s="4" t="s">
        <v>161</v>
      </c>
      <c r="D837" s="5">
        <v>32.08</v>
      </c>
      <c r="F837" s="4" t="s">
        <v>59</v>
      </c>
      <c r="G837" s="4" t="s">
        <v>4723</v>
      </c>
      <c r="H837" s="6" t="s">
        <v>11</v>
      </c>
    </row>
    <row r="838" spans="1:8" x14ac:dyDescent="0.25">
      <c r="A838" s="4" t="str">
        <f>"VERMOUTH CINZANO TINTO - ESTOQUE TAP "</f>
        <v xml:space="preserve">VERMOUTH CINZANO TINTO - ESTOQUE TAP </v>
      </c>
      <c r="B838" s="4" t="s">
        <v>161</v>
      </c>
      <c r="D838" s="5">
        <v>37.89</v>
      </c>
      <c r="F838" s="4" t="s">
        <v>59</v>
      </c>
      <c r="G838" s="4" t="s">
        <v>4724</v>
      </c>
      <c r="H838" s="6" t="s">
        <v>11</v>
      </c>
    </row>
    <row r="839" spans="1:8" x14ac:dyDescent="0.25">
      <c r="A839" s="4" t="str">
        <f>"VERMOUTH MARTINI ROSE 750ML - ESTOQUE TAP "</f>
        <v xml:space="preserve">VERMOUTH MARTINI ROSE 750ML - ESTOQUE TAP </v>
      </c>
      <c r="B839" s="4" t="s">
        <v>161</v>
      </c>
      <c r="D839" s="5">
        <v>60</v>
      </c>
      <c r="F839" s="4" t="s">
        <v>59</v>
      </c>
      <c r="G839" s="4" t="s">
        <v>4725</v>
      </c>
      <c r="H839" s="6" t="s">
        <v>11</v>
      </c>
    </row>
    <row r="840" spans="1:8" x14ac:dyDescent="0.25">
      <c r="A840" s="4" t="s">
        <v>4726</v>
      </c>
      <c r="B840" s="4" t="s">
        <v>161</v>
      </c>
      <c r="D840" s="5">
        <v>59.43</v>
      </c>
      <c r="F840" s="4" t="s">
        <v>59</v>
      </c>
      <c r="G840" s="4" t="s">
        <v>4727</v>
      </c>
      <c r="H840" s="6" t="s">
        <v>11</v>
      </c>
    </row>
    <row r="841" spans="1:8" x14ac:dyDescent="0.25">
      <c r="A841" s="4" t="s">
        <v>4748</v>
      </c>
      <c r="B841" s="4" t="s">
        <v>161</v>
      </c>
      <c r="D841" s="5">
        <v>10.67</v>
      </c>
      <c r="E841" s="5">
        <v>18.399999999999999</v>
      </c>
      <c r="F841" s="4" t="s">
        <v>59</v>
      </c>
      <c r="G841" s="4" t="s">
        <v>4749</v>
      </c>
      <c r="H841" s="6" t="s">
        <v>11</v>
      </c>
    </row>
    <row r="842" spans="1:8" x14ac:dyDescent="0.25">
      <c r="A842" s="4" t="s">
        <v>4752</v>
      </c>
      <c r="B842" s="4" t="s">
        <v>161</v>
      </c>
      <c r="D842" s="5">
        <v>26.55</v>
      </c>
      <c r="F842" s="4" t="s">
        <v>59</v>
      </c>
      <c r="G842" s="4" t="s">
        <v>4753</v>
      </c>
      <c r="H842" s="6" t="s">
        <v>11</v>
      </c>
    </row>
    <row r="843" spans="1:8" x14ac:dyDescent="0.25">
      <c r="A843" s="4" t="s">
        <v>4755</v>
      </c>
      <c r="B843" s="4" t="s">
        <v>161</v>
      </c>
      <c r="D843" s="5">
        <v>37.200000000000003</v>
      </c>
      <c r="F843" s="4" t="s">
        <v>59</v>
      </c>
      <c r="G843" s="4" t="s">
        <v>4756</v>
      </c>
      <c r="H843" s="6" t="s">
        <v>11</v>
      </c>
    </row>
    <row r="844" spans="1:8" x14ac:dyDescent="0.25">
      <c r="A844" s="4" t="s">
        <v>4757</v>
      </c>
      <c r="B844" s="4" t="s">
        <v>161</v>
      </c>
      <c r="D844" s="5">
        <v>26.53</v>
      </c>
      <c r="F844" s="4" t="s">
        <v>59</v>
      </c>
      <c r="G844" s="4" t="s">
        <v>4758</v>
      </c>
      <c r="H844" s="6" t="s">
        <v>11</v>
      </c>
    </row>
    <row r="845" spans="1:8" x14ac:dyDescent="0.25">
      <c r="A845" s="4" t="str">
        <f>"VINHO TORO NEGRO CARBENET SAUVIGNON  - ESTOQUE TAP "</f>
        <v xml:space="preserve">VINHO TORO NEGRO CARBENET SAUVIGNON  - ESTOQUE TAP </v>
      </c>
      <c r="B845" s="4" t="s">
        <v>161</v>
      </c>
      <c r="D845" s="5">
        <v>25.79</v>
      </c>
      <c r="F845" s="4" t="s">
        <v>59</v>
      </c>
      <c r="G845" s="4" t="s">
        <v>4761</v>
      </c>
      <c r="H845" s="6" t="s">
        <v>11</v>
      </c>
    </row>
    <row r="846" spans="1:8" x14ac:dyDescent="0.25">
      <c r="A846" s="4" t="str">
        <f>"VODKA ABSOLUT - ESTOQUE TAP "</f>
        <v xml:space="preserve">VODKA ABSOLUT - ESTOQUE TAP </v>
      </c>
      <c r="B846" s="4" t="s">
        <v>161</v>
      </c>
      <c r="C846" s="5">
        <v>20</v>
      </c>
      <c r="D846" s="5">
        <v>70.19</v>
      </c>
      <c r="F846" s="4" t="s">
        <v>59</v>
      </c>
      <c r="G846" s="4" t="s">
        <v>4764</v>
      </c>
      <c r="H846" s="6" t="s">
        <v>11</v>
      </c>
    </row>
    <row r="847" spans="1:8" x14ac:dyDescent="0.25">
      <c r="A847" s="4" t="s">
        <v>4765</v>
      </c>
      <c r="B847" s="4" t="s">
        <v>161</v>
      </c>
      <c r="D847" s="5">
        <v>82.25</v>
      </c>
      <c r="E847" s="5">
        <v>42</v>
      </c>
      <c r="F847" s="4" t="s">
        <v>59</v>
      </c>
      <c r="G847" s="4" t="s">
        <v>4766</v>
      </c>
      <c r="H847" s="6" t="s">
        <v>11</v>
      </c>
    </row>
    <row r="848" spans="1:8" x14ac:dyDescent="0.25">
      <c r="A848" s="4" t="s">
        <v>4767</v>
      </c>
      <c r="B848" s="4" t="s">
        <v>161</v>
      </c>
      <c r="D848" s="5">
        <v>109.31</v>
      </c>
      <c r="F848" s="4" t="s">
        <v>59</v>
      </c>
      <c r="G848" s="4" t="s">
        <v>4768</v>
      </c>
      <c r="H848" s="6" t="s">
        <v>11</v>
      </c>
    </row>
    <row r="849" spans="1:8" x14ac:dyDescent="0.25">
      <c r="A849" s="4" t="s">
        <v>4769</v>
      </c>
      <c r="B849" s="4" t="s">
        <v>161</v>
      </c>
      <c r="D849" s="5">
        <v>95.01</v>
      </c>
      <c r="E849" s="5">
        <v>4.5</v>
      </c>
      <c r="F849" s="4" t="s">
        <v>59</v>
      </c>
      <c r="G849" s="4" t="s">
        <v>4770</v>
      </c>
      <c r="H849" s="6" t="s">
        <v>11</v>
      </c>
    </row>
    <row r="850" spans="1:8" x14ac:dyDescent="0.25">
      <c r="A850" s="4" t="s">
        <v>4771</v>
      </c>
      <c r="B850" s="4" t="s">
        <v>161</v>
      </c>
      <c r="D850" s="5">
        <v>35</v>
      </c>
      <c r="F850" s="4" t="s">
        <v>59</v>
      </c>
      <c r="G850" s="4" t="s">
        <v>4772</v>
      </c>
      <c r="H850" s="6" t="s">
        <v>11</v>
      </c>
    </row>
    <row r="851" spans="1:8" x14ac:dyDescent="0.25">
      <c r="A851" s="4" t="s">
        <v>4774</v>
      </c>
      <c r="B851" s="4" t="s">
        <v>161</v>
      </c>
      <c r="F851" s="4" t="s">
        <v>59</v>
      </c>
      <c r="G851" s="4" t="s">
        <v>4775</v>
      </c>
      <c r="H851" s="6" t="s">
        <v>11</v>
      </c>
    </row>
    <row r="852" spans="1:8" x14ac:dyDescent="0.25">
      <c r="A852" s="4" t="s">
        <v>4778</v>
      </c>
      <c r="B852" s="4" t="s">
        <v>161</v>
      </c>
      <c r="D852" s="5">
        <v>72.180000000000007</v>
      </c>
      <c r="E852" s="5">
        <v>64</v>
      </c>
      <c r="F852" s="4" t="s">
        <v>59</v>
      </c>
      <c r="G852" s="4" t="s">
        <v>4779</v>
      </c>
      <c r="H852" s="6" t="s">
        <v>11</v>
      </c>
    </row>
    <row r="853" spans="1:8" x14ac:dyDescent="0.25">
      <c r="A853" s="4" t="str">
        <f>"VODKA KETEL ONE BOTANICAL - ESTOQUE "</f>
        <v xml:space="preserve">VODKA KETEL ONE BOTANICAL - ESTOQUE </v>
      </c>
      <c r="B853" s="4" t="s">
        <v>161</v>
      </c>
      <c r="F853" s="4" t="s">
        <v>59</v>
      </c>
      <c r="G853" s="4" t="s">
        <v>4780</v>
      </c>
      <c r="H853" s="6" t="s">
        <v>11</v>
      </c>
    </row>
    <row r="854" spans="1:8" x14ac:dyDescent="0.25">
      <c r="A854" s="4" t="str">
        <f>"VODKA SAL MINIMALIST - ESTOQUE TAP "</f>
        <v xml:space="preserve">VODKA SAL MINIMALIST - ESTOQUE TAP </v>
      </c>
      <c r="B854" s="4" t="s">
        <v>161</v>
      </c>
      <c r="C854" s="5">
        <v>20</v>
      </c>
      <c r="D854" s="5">
        <v>46.67</v>
      </c>
      <c r="F854" s="4" t="s">
        <v>59</v>
      </c>
      <c r="G854" s="4" t="s">
        <v>4781</v>
      </c>
      <c r="H854" s="6" t="s">
        <v>11</v>
      </c>
    </row>
    <row r="855" spans="1:8" x14ac:dyDescent="0.25">
      <c r="A855" s="4" t="s">
        <v>4784</v>
      </c>
      <c r="B855" s="4" t="s">
        <v>161</v>
      </c>
      <c r="D855" s="5">
        <v>33.01</v>
      </c>
      <c r="E855" s="5">
        <v>11.976000000000001</v>
      </c>
      <c r="F855" s="4" t="s">
        <v>59</v>
      </c>
      <c r="G855" s="4" t="s">
        <v>4785</v>
      </c>
      <c r="H855" s="6" t="s">
        <v>11</v>
      </c>
    </row>
    <row r="856" spans="1:8" x14ac:dyDescent="0.25">
      <c r="A856" s="4" t="s">
        <v>4798</v>
      </c>
      <c r="B856" s="4" t="s">
        <v>161</v>
      </c>
      <c r="D856" s="5">
        <v>134.16</v>
      </c>
      <c r="F856" s="4" t="s">
        <v>9</v>
      </c>
      <c r="G856" s="4" t="s">
        <v>4799</v>
      </c>
      <c r="H856" s="6" t="s">
        <v>11</v>
      </c>
    </row>
    <row r="857" spans="1:8" x14ac:dyDescent="0.25">
      <c r="A857" s="4" t="s">
        <v>4800</v>
      </c>
      <c r="B857" s="4" t="s">
        <v>161</v>
      </c>
      <c r="F857" s="4" t="s">
        <v>9</v>
      </c>
      <c r="G857" s="4" t="s">
        <v>4801</v>
      </c>
      <c r="H857" s="6" t="s">
        <v>11</v>
      </c>
    </row>
    <row r="858" spans="1:8" x14ac:dyDescent="0.25">
      <c r="A858" s="4" t="s">
        <v>4809</v>
      </c>
      <c r="B858" s="4" t="s">
        <v>161</v>
      </c>
      <c r="D858" s="5">
        <v>169.1</v>
      </c>
      <c r="E858" s="5">
        <v>3.75</v>
      </c>
      <c r="F858" s="4" t="s">
        <v>59</v>
      </c>
      <c r="G858" s="4" t="s">
        <v>4810</v>
      </c>
      <c r="H858" s="6" t="s">
        <v>11</v>
      </c>
    </row>
    <row r="859" spans="1:8" x14ac:dyDescent="0.25">
      <c r="A859" s="4" t="s">
        <v>4813</v>
      </c>
      <c r="B859" s="4" t="s">
        <v>161</v>
      </c>
      <c r="D859" s="5">
        <v>88.9</v>
      </c>
      <c r="E859" s="5">
        <v>-2.4900000000000002</v>
      </c>
      <c r="F859" s="4" t="s">
        <v>59</v>
      </c>
      <c r="G859" s="4" t="s">
        <v>4814</v>
      </c>
      <c r="H859" s="6" t="s">
        <v>11</v>
      </c>
    </row>
    <row r="860" spans="1:8" x14ac:dyDescent="0.25">
      <c r="A860" s="4" t="s">
        <v>4817</v>
      </c>
      <c r="B860" s="4" t="s">
        <v>161</v>
      </c>
      <c r="D860" s="5">
        <v>186.53</v>
      </c>
      <c r="F860" s="4" t="s">
        <v>59</v>
      </c>
      <c r="G860" s="4" t="s">
        <v>4818</v>
      </c>
      <c r="H860" s="6" t="s">
        <v>11</v>
      </c>
    </row>
    <row r="861" spans="1:8" x14ac:dyDescent="0.25">
      <c r="A861" s="4" t="s">
        <v>4819</v>
      </c>
      <c r="B861" s="4" t="s">
        <v>161</v>
      </c>
      <c r="D861" s="5">
        <v>153.37</v>
      </c>
      <c r="E861" s="5">
        <v>-1.86</v>
      </c>
      <c r="F861" s="4" t="s">
        <v>59</v>
      </c>
      <c r="G861" s="4" t="s">
        <v>4820</v>
      </c>
      <c r="H861" s="6" t="s">
        <v>11</v>
      </c>
    </row>
    <row r="862" spans="1:8" x14ac:dyDescent="0.25">
      <c r="A862" s="4" t="s">
        <v>4823</v>
      </c>
      <c r="B862" s="4" t="s">
        <v>161</v>
      </c>
      <c r="D862" s="5">
        <v>98.61</v>
      </c>
      <c r="E862" s="5">
        <v>11.25</v>
      </c>
      <c r="F862" s="4" t="s">
        <v>59</v>
      </c>
      <c r="G862" s="4" t="s">
        <v>4824</v>
      </c>
      <c r="H862" s="6" t="s">
        <v>11</v>
      </c>
    </row>
    <row r="863" spans="1:8" x14ac:dyDescent="0.25">
      <c r="A863" s="4" t="s">
        <v>4826</v>
      </c>
      <c r="B863" s="4" t="s">
        <v>161</v>
      </c>
      <c r="D863" s="5">
        <v>139.9</v>
      </c>
      <c r="E863" s="5">
        <v>-19</v>
      </c>
      <c r="F863" s="4" t="s">
        <v>59</v>
      </c>
      <c r="G863" s="4" t="s">
        <v>4827</v>
      </c>
      <c r="H863" s="6" t="s">
        <v>11</v>
      </c>
    </row>
    <row r="864" spans="1:8" x14ac:dyDescent="0.25">
      <c r="A864" s="4" t="str">
        <f>"WHISKY JACK DANIELS APPLE - ESTOQUE TAP "</f>
        <v xml:space="preserve">WHISKY JACK DANIELS APPLE - ESTOQUE TAP </v>
      </c>
      <c r="B864" s="4" t="s">
        <v>161</v>
      </c>
      <c r="D864" s="5">
        <v>128.56</v>
      </c>
      <c r="F864" s="4" t="s">
        <v>59</v>
      </c>
      <c r="G864" s="4" t="s">
        <v>4828</v>
      </c>
      <c r="H864" s="6" t="s">
        <v>11</v>
      </c>
    </row>
    <row r="865" spans="1:8" x14ac:dyDescent="0.25">
      <c r="A865" s="4" t="str">
        <f>"WHISKY JACK DANIELS FIRE  - ESTOQUE TAP "</f>
        <v xml:space="preserve">WHISKY JACK DANIELS FIRE  - ESTOQUE TAP </v>
      </c>
      <c r="B865" s="4" t="s">
        <v>161</v>
      </c>
      <c r="D865" s="5">
        <v>112.49</v>
      </c>
      <c r="F865" s="4" t="s">
        <v>59</v>
      </c>
      <c r="G865" s="4" t="s">
        <v>4829</v>
      </c>
      <c r="H865" s="6" t="s">
        <v>11</v>
      </c>
    </row>
    <row r="866" spans="1:8" x14ac:dyDescent="0.25">
      <c r="A866" s="4" t="s">
        <v>4832</v>
      </c>
      <c r="B866" s="4" t="s">
        <v>161</v>
      </c>
      <c r="C866" s="5">
        <v>20</v>
      </c>
      <c r="D866" s="5">
        <v>100.87</v>
      </c>
      <c r="F866" s="4" t="s">
        <v>59</v>
      </c>
      <c r="G866" s="4" t="s">
        <v>4833</v>
      </c>
      <c r="H866" s="6" t="s">
        <v>11</v>
      </c>
    </row>
    <row r="867" spans="1:8" x14ac:dyDescent="0.25">
      <c r="A867" s="4" t="str">
        <f>"WHISKY JIM BEAM WHITE - ESTOQUE TAP "</f>
        <v xml:space="preserve">WHISKY JIM BEAM WHITE - ESTOQUE TAP </v>
      </c>
      <c r="B867" s="4" t="s">
        <v>161</v>
      </c>
      <c r="D867" s="5">
        <v>84.62</v>
      </c>
      <c r="F867" s="4" t="s">
        <v>59</v>
      </c>
      <c r="G867" s="4" t="s">
        <v>4834</v>
      </c>
      <c r="H867" s="6" t="s">
        <v>11</v>
      </c>
    </row>
    <row r="868" spans="1:8" x14ac:dyDescent="0.25">
      <c r="A868" s="4" t="s">
        <v>4837</v>
      </c>
      <c r="B868" s="4" t="s">
        <v>161</v>
      </c>
      <c r="D868" s="5">
        <v>43.13</v>
      </c>
      <c r="F868" s="4" t="s">
        <v>59</v>
      </c>
      <c r="G868" s="4" t="s">
        <v>4838</v>
      </c>
      <c r="H868" s="6" t="s">
        <v>11</v>
      </c>
    </row>
    <row r="869" spans="1:8" x14ac:dyDescent="0.25">
      <c r="A869" s="4" t="s">
        <v>4841</v>
      </c>
      <c r="B869" s="4" t="s">
        <v>161</v>
      </c>
      <c r="D869" s="5">
        <v>265.98</v>
      </c>
      <c r="F869" s="4" t="s">
        <v>59</v>
      </c>
      <c r="G869" s="4" t="s">
        <v>4842</v>
      </c>
      <c r="H869" s="6" t="s">
        <v>11</v>
      </c>
    </row>
    <row r="870" spans="1:8" x14ac:dyDescent="0.25">
      <c r="A870" s="4" t="s">
        <v>4843</v>
      </c>
      <c r="B870" s="4" t="s">
        <v>161</v>
      </c>
      <c r="D870" s="5">
        <v>137.9</v>
      </c>
      <c r="F870" s="4" t="s">
        <v>59</v>
      </c>
      <c r="G870" s="4" t="s">
        <v>4844</v>
      </c>
      <c r="H870" s="6" t="s">
        <v>11</v>
      </c>
    </row>
    <row r="871" spans="1:8" x14ac:dyDescent="0.25">
      <c r="A871" s="4" t="s">
        <v>4847</v>
      </c>
      <c r="B871" s="4" t="s">
        <v>161</v>
      </c>
      <c r="D871" s="5">
        <v>93.04</v>
      </c>
      <c r="E871" s="5">
        <v>2.75</v>
      </c>
      <c r="F871" s="4" t="s">
        <v>59</v>
      </c>
      <c r="G871" s="4" t="s">
        <v>4848</v>
      </c>
      <c r="H871" s="6" t="s">
        <v>11</v>
      </c>
    </row>
    <row r="872" spans="1:8" x14ac:dyDescent="0.25">
      <c r="A872" s="4" t="str">
        <f>"WHISKY SINGLETON DUFFTOWN  - ESTOQUE TAP "</f>
        <v xml:space="preserve">WHISKY SINGLETON DUFFTOWN  - ESTOQUE TAP </v>
      </c>
      <c r="B872" s="4" t="s">
        <v>161</v>
      </c>
      <c r="D872" s="5">
        <v>279.88</v>
      </c>
      <c r="F872" s="4" t="s">
        <v>59</v>
      </c>
      <c r="G872" s="4" t="s">
        <v>4850</v>
      </c>
      <c r="H872" s="6" t="s">
        <v>11</v>
      </c>
    </row>
    <row r="873" spans="1:8" x14ac:dyDescent="0.25">
      <c r="A873" s="4" t="s">
        <v>4861</v>
      </c>
      <c r="B873" s="4" t="s">
        <v>161</v>
      </c>
      <c r="D873" s="5">
        <v>50.42</v>
      </c>
      <c r="F873" s="4" t="s">
        <v>59</v>
      </c>
      <c r="G873" s="4" t="s">
        <v>4862</v>
      </c>
      <c r="H873" s="6" t="s">
        <v>11</v>
      </c>
    </row>
    <row r="874" spans="1:8" x14ac:dyDescent="0.25">
      <c r="A874" s="4" t="s">
        <v>4863</v>
      </c>
      <c r="B874" s="4" t="s">
        <v>161</v>
      </c>
      <c r="D874" s="5">
        <v>56.35</v>
      </c>
      <c r="F874" s="4" t="s">
        <v>59</v>
      </c>
      <c r="G874" s="4" t="s">
        <v>4864</v>
      </c>
      <c r="H874" s="6" t="s">
        <v>11</v>
      </c>
    </row>
    <row r="875" spans="1:8" x14ac:dyDescent="0.25">
      <c r="A875" s="4" t="s">
        <v>4882</v>
      </c>
      <c r="B875" s="4" t="s">
        <v>161</v>
      </c>
      <c r="D875" s="5">
        <v>47.56</v>
      </c>
      <c r="F875" s="4" t="s">
        <v>59</v>
      </c>
      <c r="G875" s="4" t="s">
        <v>4883</v>
      </c>
      <c r="H875" s="6" t="s">
        <v>11</v>
      </c>
    </row>
    <row r="876" spans="1:8" x14ac:dyDescent="0.25">
      <c r="A876" s="4" t="s">
        <v>4884</v>
      </c>
      <c r="B876" s="4" t="s">
        <v>161</v>
      </c>
      <c r="D876" s="5">
        <v>48.51</v>
      </c>
      <c r="F876" s="4" t="s">
        <v>59</v>
      </c>
      <c r="G876" s="4" t="s">
        <v>4885</v>
      </c>
      <c r="H876" s="6" t="s">
        <v>11</v>
      </c>
    </row>
    <row r="877" spans="1:8" x14ac:dyDescent="0.25">
      <c r="A877" s="4" t="s">
        <v>221</v>
      </c>
      <c r="B877" s="4" t="s">
        <v>222</v>
      </c>
      <c r="D877" s="5">
        <v>582</v>
      </c>
      <c r="F877" s="4" t="s">
        <v>9</v>
      </c>
      <c r="G877" s="4" t="s">
        <v>223</v>
      </c>
      <c r="H877" s="6" t="s">
        <v>11</v>
      </c>
    </row>
    <row r="878" spans="1:8" x14ac:dyDescent="0.25">
      <c r="A878" s="4" t="s">
        <v>405</v>
      </c>
      <c r="B878" s="4" t="s">
        <v>222</v>
      </c>
      <c r="F878" s="4" t="s">
        <v>9</v>
      </c>
      <c r="G878" s="4" t="s">
        <v>406</v>
      </c>
      <c r="H878" s="6" t="s">
        <v>11</v>
      </c>
    </row>
    <row r="879" spans="1:8" x14ac:dyDescent="0.25">
      <c r="A879" s="4" t="s">
        <v>708</v>
      </c>
      <c r="B879" s="4" t="s">
        <v>222</v>
      </c>
      <c r="D879" s="5">
        <v>19.399999999999999</v>
      </c>
      <c r="F879" s="4" t="s">
        <v>59</v>
      </c>
      <c r="G879" s="4" t="s">
        <v>709</v>
      </c>
      <c r="H879" s="6" t="s">
        <v>11</v>
      </c>
    </row>
    <row r="880" spans="1:8" x14ac:dyDescent="0.25">
      <c r="A880" s="4" t="str">
        <f>"CHOPE DE BOLACHA "</f>
        <v xml:space="preserve">CHOPE DE BOLACHA </v>
      </c>
      <c r="B880" s="4" t="s">
        <v>222</v>
      </c>
      <c r="D880" s="5">
        <v>24.5</v>
      </c>
      <c r="F880" s="4" t="s">
        <v>9</v>
      </c>
      <c r="G880" s="4" t="s">
        <v>1123</v>
      </c>
      <c r="H880" s="6" t="s">
        <v>11</v>
      </c>
    </row>
    <row r="881" spans="1:8" x14ac:dyDescent="0.25">
      <c r="A881" s="4" t="s">
        <v>2539</v>
      </c>
      <c r="B881" s="4" t="s">
        <v>222</v>
      </c>
      <c r="F881" s="4" t="s">
        <v>9</v>
      </c>
      <c r="G881" s="4" t="s">
        <v>2540</v>
      </c>
      <c r="H881" s="6" t="s">
        <v>11</v>
      </c>
    </row>
    <row r="882" spans="1:8" x14ac:dyDescent="0.25">
      <c r="A882" s="4" t="s">
        <v>2574</v>
      </c>
      <c r="B882" s="4" t="s">
        <v>222</v>
      </c>
      <c r="F882" s="4" t="s">
        <v>9</v>
      </c>
      <c r="G882" s="4" t="s">
        <v>2575</v>
      </c>
      <c r="H882" s="6" t="s">
        <v>11</v>
      </c>
    </row>
    <row r="883" spans="1:8" x14ac:dyDescent="0.25">
      <c r="A883" s="4" t="s">
        <v>2594</v>
      </c>
      <c r="B883" s="4" t="s">
        <v>222</v>
      </c>
      <c r="F883" s="4" t="s">
        <v>9</v>
      </c>
      <c r="G883" s="4" t="s">
        <v>2595</v>
      </c>
      <c r="H883" s="6" t="s">
        <v>11</v>
      </c>
    </row>
    <row r="884" spans="1:8" x14ac:dyDescent="0.25">
      <c r="A884" s="4" t="s">
        <v>2655</v>
      </c>
      <c r="B884" s="4" t="s">
        <v>222</v>
      </c>
      <c r="F884" s="4" t="s">
        <v>9</v>
      </c>
      <c r="G884" s="4" t="s">
        <v>2656</v>
      </c>
      <c r="H884" s="6" t="s">
        <v>11</v>
      </c>
    </row>
    <row r="885" spans="1:8" x14ac:dyDescent="0.25">
      <c r="A885" s="4" t="s">
        <v>2681</v>
      </c>
      <c r="B885" s="4" t="s">
        <v>222</v>
      </c>
      <c r="F885" s="4" t="s">
        <v>9</v>
      </c>
      <c r="G885" s="4" t="s">
        <v>2682</v>
      </c>
      <c r="H885" s="6" t="s">
        <v>11</v>
      </c>
    </row>
    <row r="886" spans="1:8" x14ac:dyDescent="0.25">
      <c r="A886" s="4" t="s">
        <v>2683</v>
      </c>
      <c r="B886" s="4" t="s">
        <v>222</v>
      </c>
      <c r="F886" s="4" t="s">
        <v>9</v>
      </c>
      <c r="G886" s="4" t="s">
        <v>2684</v>
      </c>
      <c r="H886" s="6" t="s">
        <v>11</v>
      </c>
    </row>
    <row r="887" spans="1:8" x14ac:dyDescent="0.25">
      <c r="A887" s="4" t="s">
        <v>2685</v>
      </c>
      <c r="B887" s="4" t="s">
        <v>222</v>
      </c>
      <c r="F887" s="4" t="s">
        <v>9</v>
      </c>
      <c r="G887" s="4" t="s">
        <v>2686</v>
      </c>
      <c r="H887" s="6" t="s">
        <v>11</v>
      </c>
    </row>
    <row r="888" spans="1:8" x14ac:dyDescent="0.25">
      <c r="A888" s="4" t="s">
        <v>2725</v>
      </c>
      <c r="B888" s="4" t="s">
        <v>222</v>
      </c>
      <c r="D888" s="5">
        <v>15.7</v>
      </c>
      <c r="F888" s="4" t="s">
        <v>9</v>
      </c>
      <c r="G888" s="4" t="s">
        <v>2726</v>
      </c>
      <c r="H888" s="6" t="s">
        <v>11</v>
      </c>
    </row>
    <row r="889" spans="1:8" x14ac:dyDescent="0.25">
      <c r="A889" s="4" t="s">
        <v>2729</v>
      </c>
      <c r="B889" s="4" t="s">
        <v>222</v>
      </c>
      <c r="F889" s="4" t="s">
        <v>9</v>
      </c>
      <c r="G889" s="4" t="s">
        <v>2730</v>
      </c>
      <c r="H889" s="6" t="s">
        <v>11</v>
      </c>
    </row>
    <row r="890" spans="1:8" x14ac:dyDescent="0.25">
      <c r="A890" s="4" t="s">
        <v>2741</v>
      </c>
      <c r="B890" s="4" t="s">
        <v>222</v>
      </c>
      <c r="F890" s="4" t="s">
        <v>9</v>
      </c>
      <c r="G890" s="4" t="s">
        <v>2742</v>
      </c>
      <c r="H890" s="6" t="s">
        <v>11</v>
      </c>
    </row>
    <row r="891" spans="1:8" x14ac:dyDescent="0.25">
      <c r="A891" s="4" t="s">
        <v>2855</v>
      </c>
      <c r="B891" s="4" t="s">
        <v>222</v>
      </c>
      <c r="F891" s="4" t="s">
        <v>9</v>
      </c>
      <c r="G891" s="4" t="s">
        <v>2856</v>
      </c>
      <c r="H891" s="6" t="s">
        <v>11</v>
      </c>
    </row>
    <row r="892" spans="1:8" x14ac:dyDescent="0.25">
      <c r="A892" s="4" t="s">
        <v>3168</v>
      </c>
      <c r="B892" s="4" t="s">
        <v>222</v>
      </c>
      <c r="D892" s="5">
        <v>687</v>
      </c>
      <c r="F892" s="4" t="s">
        <v>9</v>
      </c>
      <c r="G892" s="4" t="s">
        <v>3169</v>
      </c>
      <c r="H892" s="6" t="s">
        <v>11</v>
      </c>
    </row>
    <row r="893" spans="1:8" x14ac:dyDescent="0.25">
      <c r="A893" s="4" t="str">
        <f>"IMPERIAL CATHARINA FRUTAS VERMELHAS - ESTOQUE "</f>
        <v xml:space="preserve">IMPERIAL CATHARINA FRUTAS VERMELHAS - ESTOQUE </v>
      </c>
      <c r="B893" s="4" t="s">
        <v>222</v>
      </c>
      <c r="F893" s="4" t="s">
        <v>59</v>
      </c>
      <c r="G893" s="4" t="s">
        <v>3204</v>
      </c>
      <c r="H893" s="6" t="s">
        <v>11</v>
      </c>
    </row>
    <row r="894" spans="1:8" x14ac:dyDescent="0.25">
      <c r="A894" s="4" t="str">
        <f>"IMPERIAL SOUR NIAGRA BRACA E ROSADA- ESTOQUE "</f>
        <v xml:space="preserve">IMPERIAL SOUR NIAGRA BRACA E ROSADA- ESTOQUE </v>
      </c>
      <c r="B894" s="4" t="s">
        <v>222</v>
      </c>
      <c r="F894" s="4" t="s">
        <v>59</v>
      </c>
      <c r="G894" s="4" t="s">
        <v>3205</v>
      </c>
      <c r="H894" s="6" t="s">
        <v>11</v>
      </c>
    </row>
    <row r="895" spans="1:8" x14ac:dyDescent="0.25">
      <c r="A895" s="4" t="s">
        <v>3223</v>
      </c>
      <c r="B895" s="4" t="s">
        <v>222</v>
      </c>
      <c r="F895" s="4" t="s">
        <v>9</v>
      </c>
      <c r="G895" s="4" t="s">
        <v>3224</v>
      </c>
      <c r="H895" s="6" t="s">
        <v>11</v>
      </c>
    </row>
    <row r="896" spans="1:8" x14ac:dyDescent="0.25">
      <c r="A896" s="4" t="s">
        <v>3965</v>
      </c>
      <c r="B896" s="4" t="s">
        <v>222</v>
      </c>
      <c r="D896" s="5">
        <v>537</v>
      </c>
      <c r="F896" s="4" t="s">
        <v>9</v>
      </c>
      <c r="G896" s="4" t="s">
        <v>3966</v>
      </c>
      <c r="H896" s="6" t="s">
        <v>11</v>
      </c>
    </row>
    <row r="897" spans="1:8" x14ac:dyDescent="0.25">
      <c r="A897" s="4" t="s">
        <v>4224</v>
      </c>
      <c r="B897" s="4" t="s">
        <v>222</v>
      </c>
      <c r="F897" s="4" t="s">
        <v>9</v>
      </c>
      <c r="G897" s="4" t="s">
        <v>4225</v>
      </c>
      <c r="H897" s="6" t="s">
        <v>11</v>
      </c>
    </row>
    <row r="898" spans="1:8" x14ac:dyDescent="0.25">
      <c r="A898" s="4" t="s">
        <v>4226</v>
      </c>
      <c r="B898" s="4" t="s">
        <v>222</v>
      </c>
      <c r="D898" s="5">
        <v>657</v>
      </c>
      <c r="F898" s="4" t="s">
        <v>9</v>
      </c>
      <c r="G898" s="4" t="s">
        <v>4227</v>
      </c>
      <c r="H898" s="6" t="s">
        <v>11</v>
      </c>
    </row>
    <row r="899" spans="1:8" x14ac:dyDescent="0.25">
      <c r="A899" s="4" t="s">
        <v>243</v>
      </c>
      <c r="B899" s="4" t="s">
        <v>244</v>
      </c>
      <c r="C899" s="5">
        <v>30</v>
      </c>
      <c r="D899" s="5">
        <v>14.9</v>
      </c>
      <c r="F899" s="4" t="s">
        <v>9</v>
      </c>
      <c r="G899" s="4" t="s">
        <v>245</v>
      </c>
      <c r="H899" s="6" t="s">
        <v>11</v>
      </c>
    </row>
    <row r="900" spans="1:8" x14ac:dyDescent="0.25">
      <c r="A900" s="4" t="s">
        <v>352</v>
      </c>
      <c r="B900" s="4" t="s">
        <v>244</v>
      </c>
      <c r="C900" s="5">
        <v>130</v>
      </c>
      <c r="F900" s="4" t="s">
        <v>9</v>
      </c>
      <c r="G900" s="4" t="s">
        <v>353</v>
      </c>
      <c r="H900" s="6" t="s">
        <v>11</v>
      </c>
    </row>
    <row r="901" spans="1:8" x14ac:dyDescent="0.25">
      <c r="A901" s="4" t="s">
        <v>354</v>
      </c>
      <c r="B901" s="4" t="s">
        <v>244</v>
      </c>
      <c r="C901" s="5">
        <v>130</v>
      </c>
      <c r="F901" s="4" t="s">
        <v>9</v>
      </c>
      <c r="G901" s="4" t="s">
        <v>355</v>
      </c>
      <c r="H901" s="6" t="s">
        <v>11</v>
      </c>
    </row>
    <row r="902" spans="1:8" x14ac:dyDescent="0.25">
      <c r="A902" s="4" t="s">
        <v>356</v>
      </c>
      <c r="B902" s="4" t="s">
        <v>244</v>
      </c>
      <c r="C902" s="5">
        <v>90</v>
      </c>
      <c r="D902" s="5">
        <v>45</v>
      </c>
      <c r="F902" s="4" t="s">
        <v>9</v>
      </c>
      <c r="G902" s="4" t="s">
        <v>357</v>
      </c>
      <c r="H902" s="6" t="s">
        <v>11</v>
      </c>
    </row>
    <row r="903" spans="1:8" x14ac:dyDescent="0.25">
      <c r="A903" s="4" t="s">
        <v>358</v>
      </c>
      <c r="B903" s="4" t="s">
        <v>244</v>
      </c>
      <c r="C903" s="5">
        <v>90</v>
      </c>
      <c r="D903" s="5">
        <v>18.37</v>
      </c>
      <c r="E903" s="5">
        <v>20</v>
      </c>
      <c r="F903" s="4" t="s">
        <v>9</v>
      </c>
      <c r="G903" s="4" t="s">
        <v>359</v>
      </c>
      <c r="H903" s="6" t="s">
        <v>11</v>
      </c>
    </row>
    <row r="904" spans="1:8" x14ac:dyDescent="0.25">
      <c r="A904" s="4" t="s">
        <v>360</v>
      </c>
      <c r="B904" s="4" t="s">
        <v>244</v>
      </c>
      <c r="C904" s="5">
        <v>90</v>
      </c>
      <c r="D904" s="5">
        <v>45</v>
      </c>
      <c r="E904" s="5">
        <v>48</v>
      </c>
      <c r="F904" s="4" t="s">
        <v>9</v>
      </c>
      <c r="G904" s="4" t="s">
        <v>361</v>
      </c>
      <c r="H904" s="6" t="s">
        <v>11</v>
      </c>
    </row>
    <row r="905" spans="1:8" x14ac:dyDescent="0.25">
      <c r="A905" s="4" t="s">
        <v>362</v>
      </c>
      <c r="B905" s="4" t="s">
        <v>244</v>
      </c>
      <c r="C905" s="5">
        <v>90</v>
      </c>
      <c r="D905" s="5">
        <v>55.84</v>
      </c>
      <c r="F905" s="4" t="s">
        <v>9</v>
      </c>
      <c r="G905" s="4" t="s">
        <v>363</v>
      </c>
      <c r="H905" s="6" t="s">
        <v>11</v>
      </c>
    </row>
    <row r="906" spans="1:8" x14ac:dyDescent="0.25">
      <c r="A906" s="4" t="s">
        <v>364</v>
      </c>
      <c r="B906" s="4" t="s">
        <v>244</v>
      </c>
      <c r="C906" s="5">
        <v>90</v>
      </c>
      <c r="F906" s="4" t="s">
        <v>9</v>
      </c>
      <c r="G906" s="4" t="s">
        <v>365</v>
      </c>
      <c r="H906" s="6" t="s">
        <v>11</v>
      </c>
    </row>
    <row r="907" spans="1:8" x14ac:dyDescent="0.25">
      <c r="A907" s="4" t="s">
        <v>366</v>
      </c>
      <c r="B907" s="4" t="s">
        <v>244</v>
      </c>
      <c r="C907" s="5">
        <v>90</v>
      </c>
      <c r="D907" s="5">
        <v>55.84</v>
      </c>
      <c r="F907" s="4" t="s">
        <v>9</v>
      </c>
      <c r="G907" s="4" t="s">
        <v>367</v>
      </c>
      <c r="H907" s="6" t="s">
        <v>11</v>
      </c>
    </row>
    <row r="908" spans="1:8" x14ac:dyDescent="0.25">
      <c r="A908" s="4" t="s">
        <v>368</v>
      </c>
      <c r="B908" s="4" t="s">
        <v>244</v>
      </c>
      <c r="C908" s="5">
        <v>90</v>
      </c>
      <c r="D908" s="5">
        <v>73.400000000000006</v>
      </c>
      <c r="F908" s="4" t="s">
        <v>9</v>
      </c>
      <c r="G908" s="4" t="s">
        <v>369</v>
      </c>
      <c r="H908" s="6" t="s">
        <v>11</v>
      </c>
    </row>
    <row r="909" spans="1:8" x14ac:dyDescent="0.25">
      <c r="A909" s="4" t="s">
        <v>370</v>
      </c>
      <c r="B909" s="4" t="s">
        <v>244</v>
      </c>
      <c r="C909" s="5">
        <v>90</v>
      </c>
      <c r="D909" s="5">
        <v>45</v>
      </c>
      <c r="F909" s="4" t="s">
        <v>9</v>
      </c>
      <c r="G909" s="4" t="s">
        <v>371</v>
      </c>
      <c r="H909" s="6" t="s">
        <v>11</v>
      </c>
    </row>
    <row r="910" spans="1:8" x14ac:dyDescent="0.25">
      <c r="A910" s="4" t="s">
        <v>379</v>
      </c>
      <c r="B910" s="4" t="s">
        <v>244</v>
      </c>
      <c r="C910" s="5">
        <v>5</v>
      </c>
      <c r="F910" s="4" t="s">
        <v>9</v>
      </c>
      <c r="G910" s="4" t="s">
        <v>380</v>
      </c>
      <c r="H910" s="6" t="s">
        <v>11</v>
      </c>
    </row>
    <row r="911" spans="1:8" x14ac:dyDescent="0.25">
      <c r="A911" s="4" t="s">
        <v>381</v>
      </c>
      <c r="B911" s="4" t="s">
        <v>244</v>
      </c>
      <c r="C911" s="5">
        <v>5</v>
      </c>
      <c r="D911" s="5">
        <v>1.31</v>
      </c>
      <c r="F911" s="4" t="s">
        <v>9</v>
      </c>
      <c r="G911" s="4" t="s">
        <v>382</v>
      </c>
      <c r="H911" s="6" t="s">
        <v>11</v>
      </c>
    </row>
    <row r="912" spans="1:8" x14ac:dyDescent="0.25">
      <c r="A912" s="4" t="s">
        <v>399</v>
      </c>
      <c r="B912" s="4" t="s">
        <v>244</v>
      </c>
      <c r="C912" s="5">
        <v>24.9</v>
      </c>
      <c r="D912" s="5">
        <v>17.3</v>
      </c>
      <c r="F912" s="4" t="s">
        <v>9</v>
      </c>
      <c r="G912" s="4" t="s">
        <v>400</v>
      </c>
      <c r="H912" s="6" t="s">
        <v>11</v>
      </c>
    </row>
    <row r="913" spans="1:8" x14ac:dyDescent="0.25">
      <c r="A913" s="4" t="s">
        <v>499</v>
      </c>
      <c r="B913" s="4" t="s">
        <v>244</v>
      </c>
      <c r="C913" s="5">
        <v>110</v>
      </c>
      <c r="D913" s="5">
        <v>45</v>
      </c>
      <c r="F913" s="4" t="s">
        <v>9</v>
      </c>
      <c r="G913" s="4" t="s">
        <v>500</v>
      </c>
      <c r="H913" s="6" t="s">
        <v>11</v>
      </c>
    </row>
    <row r="914" spans="1:8" x14ac:dyDescent="0.25">
      <c r="A914" s="4" t="str">
        <f>"CAMISETA - BORDO BSTRDS COMPANY (G) "</f>
        <v xml:space="preserve">CAMISETA - BORDO BSTRDS COMPANY (G) </v>
      </c>
      <c r="B914" s="4" t="s">
        <v>244</v>
      </c>
      <c r="C914" s="5">
        <v>110</v>
      </c>
      <c r="D914" s="5">
        <v>45</v>
      </c>
      <c r="F914" s="4" t="s">
        <v>9</v>
      </c>
      <c r="G914" s="4" t="s">
        <v>501</v>
      </c>
      <c r="H914" s="6" t="s">
        <v>11</v>
      </c>
    </row>
    <row r="915" spans="1:8" x14ac:dyDescent="0.25">
      <c r="A915" s="4" t="str">
        <f>"CAMISETA - BORDO BSTRDS COMPANY (GG) "</f>
        <v xml:space="preserve">CAMISETA - BORDO BSTRDS COMPANY (GG) </v>
      </c>
      <c r="B915" s="4" t="s">
        <v>244</v>
      </c>
      <c r="C915" s="5">
        <v>110</v>
      </c>
      <c r="D915" s="5">
        <v>45</v>
      </c>
      <c r="F915" s="4" t="s">
        <v>9</v>
      </c>
      <c r="G915" s="4" t="s">
        <v>502</v>
      </c>
      <c r="H915" s="6" t="s">
        <v>11</v>
      </c>
    </row>
    <row r="916" spans="1:8" x14ac:dyDescent="0.25">
      <c r="A916" s="4" t="str">
        <f>"CAMISETA - BORDO BSTRDS COMPANY (M) "</f>
        <v xml:space="preserve">CAMISETA - BORDO BSTRDS COMPANY (M) </v>
      </c>
      <c r="B916" s="4" t="s">
        <v>244</v>
      </c>
      <c r="C916" s="5">
        <v>110</v>
      </c>
      <c r="D916" s="5">
        <v>45</v>
      </c>
      <c r="F916" s="4" t="s">
        <v>9</v>
      </c>
      <c r="G916" s="4" t="s">
        <v>503</v>
      </c>
      <c r="H916" s="6" t="s">
        <v>11</v>
      </c>
    </row>
    <row r="917" spans="1:8" x14ac:dyDescent="0.25">
      <c r="A917" s="4" t="s">
        <v>504</v>
      </c>
      <c r="B917" s="4" t="s">
        <v>244</v>
      </c>
      <c r="C917" s="5">
        <v>110</v>
      </c>
      <c r="D917" s="5">
        <v>45</v>
      </c>
      <c r="F917" s="4" t="s">
        <v>9</v>
      </c>
      <c r="G917" s="4" t="s">
        <v>505</v>
      </c>
      <c r="H917" s="6" t="s">
        <v>11</v>
      </c>
    </row>
    <row r="918" spans="1:8" x14ac:dyDescent="0.25">
      <c r="A918" s="4" t="str">
        <f>"CAMISETA - BORDO BSTRDS COMPANY (XG) "</f>
        <v xml:space="preserve">CAMISETA - BORDO BSTRDS COMPANY (XG) </v>
      </c>
      <c r="B918" s="4" t="s">
        <v>244</v>
      </c>
      <c r="C918" s="5">
        <v>110</v>
      </c>
      <c r="D918" s="5">
        <v>45</v>
      </c>
      <c r="F918" s="4" t="s">
        <v>9</v>
      </c>
      <c r="G918" s="4" t="s">
        <v>506</v>
      </c>
      <c r="H918" s="6" t="s">
        <v>11</v>
      </c>
    </row>
    <row r="919" spans="1:8" x14ac:dyDescent="0.25">
      <c r="A919" s="4" t="s">
        <v>507</v>
      </c>
      <c r="B919" s="4" t="s">
        <v>244</v>
      </c>
      <c r="C919" s="5">
        <v>90</v>
      </c>
      <c r="D919" s="5">
        <v>35</v>
      </c>
      <c r="F919" s="4" t="s">
        <v>9</v>
      </c>
      <c r="G919" s="4" t="s">
        <v>508</v>
      </c>
      <c r="H919" s="6" t="s">
        <v>11</v>
      </c>
    </row>
    <row r="920" spans="1:8" x14ac:dyDescent="0.25">
      <c r="A920" s="4" t="s">
        <v>509</v>
      </c>
      <c r="B920" s="4" t="s">
        <v>244</v>
      </c>
      <c r="C920" s="5">
        <v>90</v>
      </c>
      <c r="F920" s="4" t="s">
        <v>9</v>
      </c>
      <c r="G920" s="4" t="s">
        <v>510</v>
      </c>
      <c r="H920" s="6" t="s">
        <v>11</v>
      </c>
    </row>
    <row r="921" spans="1:8" x14ac:dyDescent="0.25">
      <c r="A921" s="4" t="str">
        <f>"CAMISETA - MASC. 3 DOGS PRETA (2XG) "</f>
        <v xml:space="preserve">CAMISETA - MASC. 3 DOGS PRETA (2XG) </v>
      </c>
      <c r="B921" s="4" t="s">
        <v>244</v>
      </c>
      <c r="C921" s="5">
        <v>80</v>
      </c>
      <c r="D921" s="5">
        <v>38</v>
      </c>
      <c r="F921" s="4" t="s">
        <v>9</v>
      </c>
      <c r="G921" s="4" t="s">
        <v>511</v>
      </c>
      <c r="H921" s="6" t="s">
        <v>11</v>
      </c>
    </row>
    <row r="922" spans="1:8" x14ac:dyDescent="0.25">
      <c r="A922" s="4" t="str">
        <f>"CAMISETA - MASC. 3 DOGS PRETA (3XG) "</f>
        <v xml:space="preserve">CAMISETA - MASC. 3 DOGS PRETA (3XG) </v>
      </c>
      <c r="B922" s="4" t="s">
        <v>244</v>
      </c>
      <c r="C922" s="5">
        <v>80</v>
      </c>
      <c r="D922" s="5">
        <v>45</v>
      </c>
      <c r="F922" s="4" t="s">
        <v>9</v>
      </c>
      <c r="G922" s="4" t="s">
        <v>512</v>
      </c>
      <c r="H922" s="6" t="s">
        <v>11</v>
      </c>
    </row>
    <row r="923" spans="1:8" x14ac:dyDescent="0.25">
      <c r="A923" s="4" t="str">
        <f>"CAMISETA - MASC. 3 DOGS PRETA (G) "</f>
        <v xml:space="preserve">CAMISETA - MASC. 3 DOGS PRETA (G) </v>
      </c>
      <c r="B923" s="4" t="s">
        <v>244</v>
      </c>
      <c r="C923" s="5">
        <v>80</v>
      </c>
      <c r="D923" s="5">
        <v>45</v>
      </c>
      <c r="F923" s="4" t="s">
        <v>9</v>
      </c>
      <c r="G923" s="4" t="s">
        <v>513</v>
      </c>
      <c r="H923" s="6" t="s">
        <v>11</v>
      </c>
    </row>
    <row r="924" spans="1:8" x14ac:dyDescent="0.25">
      <c r="A924" s="4" t="s">
        <v>514</v>
      </c>
      <c r="B924" s="4" t="s">
        <v>244</v>
      </c>
      <c r="C924" s="5">
        <v>80</v>
      </c>
      <c r="D924" s="5">
        <v>45</v>
      </c>
      <c r="F924" s="4" t="s">
        <v>9</v>
      </c>
      <c r="G924" s="4" t="s">
        <v>515</v>
      </c>
      <c r="H924" s="6" t="s">
        <v>11</v>
      </c>
    </row>
    <row r="925" spans="1:8" x14ac:dyDescent="0.25">
      <c r="A925" s="4" t="str">
        <f>"CAMISETA - MASC. 3 DOGS PRETA (M) "</f>
        <v xml:space="preserve">CAMISETA - MASC. 3 DOGS PRETA (M) </v>
      </c>
      <c r="B925" s="4" t="s">
        <v>244</v>
      </c>
      <c r="C925" s="5">
        <v>80</v>
      </c>
      <c r="D925" s="5">
        <v>45</v>
      </c>
      <c r="F925" s="4" t="s">
        <v>9</v>
      </c>
      <c r="G925" s="4" t="s">
        <v>516</v>
      </c>
      <c r="H925" s="6" t="s">
        <v>11</v>
      </c>
    </row>
    <row r="926" spans="1:8" x14ac:dyDescent="0.25">
      <c r="A926" s="4" t="str">
        <f>"CAMISETA - MASC. 3 DOGS PRETA (P) "</f>
        <v xml:space="preserve">CAMISETA - MASC. 3 DOGS PRETA (P) </v>
      </c>
      <c r="B926" s="4" t="s">
        <v>244</v>
      </c>
      <c r="C926" s="5">
        <v>80</v>
      </c>
      <c r="D926" s="5">
        <v>45</v>
      </c>
      <c r="F926" s="4" t="s">
        <v>9</v>
      </c>
      <c r="G926" s="4" t="s">
        <v>517</v>
      </c>
      <c r="H926" s="6" t="s">
        <v>11</v>
      </c>
    </row>
    <row r="927" spans="1:8" x14ac:dyDescent="0.25">
      <c r="A927" s="4" t="s">
        <v>518</v>
      </c>
      <c r="B927" s="4" t="s">
        <v>244</v>
      </c>
      <c r="C927" s="5">
        <v>80</v>
      </c>
      <c r="D927" s="5">
        <v>45</v>
      </c>
      <c r="F927" s="4" t="s">
        <v>9</v>
      </c>
      <c r="G927" s="4" t="s">
        <v>519</v>
      </c>
      <c r="H927" s="6" t="s">
        <v>11</v>
      </c>
    </row>
    <row r="928" spans="1:8" x14ac:dyDescent="0.25">
      <c r="A928" s="4" t="str">
        <f>"CAMISETA - MASC. 3 DOGS PRETA (XG) "</f>
        <v xml:space="preserve">CAMISETA - MASC. 3 DOGS PRETA (XG) </v>
      </c>
      <c r="B928" s="4" t="s">
        <v>244</v>
      </c>
      <c r="C928" s="5">
        <v>80</v>
      </c>
      <c r="D928" s="5">
        <v>45</v>
      </c>
      <c r="F928" s="4" t="s">
        <v>9</v>
      </c>
      <c r="G928" s="4" t="s">
        <v>520</v>
      </c>
      <c r="H928" s="6" t="s">
        <v>11</v>
      </c>
    </row>
    <row r="929" spans="1:8" x14ac:dyDescent="0.25">
      <c r="A929" s="4" t="s">
        <v>521</v>
      </c>
      <c r="B929" s="4" t="s">
        <v>244</v>
      </c>
      <c r="C929" s="5">
        <v>80</v>
      </c>
      <c r="D929" s="5">
        <v>45</v>
      </c>
      <c r="F929" s="4" t="s">
        <v>9</v>
      </c>
      <c r="G929" s="4" t="s">
        <v>522</v>
      </c>
      <c r="H929" s="6" t="s">
        <v>11</v>
      </c>
    </row>
    <row r="930" spans="1:8" x14ac:dyDescent="0.25">
      <c r="A930" s="4" t="s">
        <v>523</v>
      </c>
      <c r="B930" s="4" t="s">
        <v>244</v>
      </c>
      <c r="C930" s="5">
        <v>80</v>
      </c>
      <c r="D930" s="5">
        <v>45</v>
      </c>
      <c r="F930" s="4" t="s">
        <v>9</v>
      </c>
      <c r="G930" s="4" t="s">
        <v>524</v>
      </c>
      <c r="H930" s="6" t="s">
        <v>11</v>
      </c>
    </row>
    <row r="931" spans="1:8" x14ac:dyDescent="0.25">
      <c r="A931" s="4" t="s">
        <v>525</v>
      </c>
      <c r="B931" s="4" t="s">
        <v>244</v>
      </c>
      <c r="C931" s="5">
        <v>80</v>
      </c>
      <c r="D931" s="5">
        <v>38</v>
      </c>
      <c r="F931" s="4" t="s">
        <v>9</v>
      </c>
      <c r="G931" s="4" t="s">
        <v>526</v>
      </c>
      <c r="H931" s="6" t="s">
        <v>11</v>
      </c>
    </row>
    <row r="932" spans="1:8" x14ac:dyDescent="0.25">
      <c r="A932" s="4" t="s">
        <v>527</v>
      </c>
      <c r="B932" s="4" t="s">
        <v>244</v>
      </c>
      <c r="C932" s="5">
        <v>80</v>
      </c>
      <c r="D932" s="5">
        <v>38</v>
      </c>
      <c r="F932" s="4" t="s">
        <v>9</v>
      </c>
      <c r="G932" s="4" t="s">
        <v>528</v>
      </c>
      <c r="H932" s="6" t="s">
        <v>11</v>
      </c>
    </row>
    <row r="933" spans="1:8" x14ac:dyDescent="0.25">
      <c r="A933" s="4" t="s">
        <v>529</v>
      </c>
      <c r="B933" s="4" t="s">
        <v>244</v>
      </c>
      <c r="C933" s="5">
        <v>80</v>
      </c>
      <c r="D933" s="5">
        <v>38</v>
      </c>
      <c r="F933" s="4" t="s">
        <v>9</v>
      </c>
      <c r="G933" s="4" t="s">
        <v>530</v>
      </c>
      <c r="H933" s="6" t="s">
        <v>11</v>
      </c>
    </row>
    <row r="934" spans="1:8" x14ac:dyDescent="0.25">
      <c r="A934" s="4" t="s">
        <v>531</v>
      </c>
      <c r="B934" s="4" t="s">
        <v>244</v>
      </c>
      <c r="C934" s="5">
        <v>80</v>
      </c>
      <c r="D934" s="5">
        <v>38</v>
      </c>
      <c r="F934" s="4" t="s">
        <v>9</v>
      </c>
      <c r="G934" s="4" t="s">
        <v>532</v>
      </c>
      <c r="H934" s="6" t="s">
        <v>11</v>
      </c>
    </row>
    <row r="935" spans="1:8" x14ac:dyDescent="0.25">
      <c r="A935" s="4" t="s">
        <v>533</v>
      </c>
      <c r="B935" s="4" t="s">
        <v>244</v>
      </c>
      <c r="C935" s="5">
        <v>80</v>
      </c>
      <c r="D935" s="5">
        <v>38</v>
      </c>
      <c r="F935" s="4" t="s">
        <v>9</v>
      </c>
      <c r="G935" s="4" t="s">
        <v>534</v>
      </c>
      <c r="H935" s="6" t="s">
        <v>11</v>
      </c>
    </row>
    <row r="936" spans="1:8" x14ac:dyDescent="0.25">
      <c r="A936" s="4" t="str">
        <f>"CAMISETA - OFF WHITE BSTRDS COMPANY (2XG) "</f>
        <v xml:space="preserve">CAMISETA - OFF WHITE BSTRDS COMPANY (2XG) </v>
      </c>
      <c r="B936" s="4" t="s">
        <v>244</v>
      </c>
      <c r="C936" s="5">
        <v>110</v>
      </c>
      <c r="D936" s="5">
        <v>45</v>
      </c>
      <c r="F936" s="4" t="s">
        <v>9</v>
      </c>
      <c r="G936" s="4" t="s">
        <v>535</v>
      </c>
      <c r="H936" s="6" t="s">
        <v>11</v>
      </c>
    </row>
    <row r="937" spans="1:8" x14ac:dyDescent="0.25">
      <c r="A937" s="4" t="str">
        <f>"CAMISETA - OFF WHITE BSTRDS COMPANY (G) "</f>
        <v xml:space="preserve">CAMISETA - OFF WHITE BSTRDS COMPANY (G) </v>
      </c>
      <c r="B937" s="4" t="s">
        <v>244</v>
      </c>
      <c r="C937" s="5">
        <v>110</v>
      </c>
      <c r="D937" s="5">
        <v>140</v>
      </c>
      <c r="F937" s="4" t="s">
        <v>9</v>
      </c>
      <c r="G937" s="4" t="s">
        <v>536</v>
      </c>
      <c r="H937" s="6" t="s">
        <v>11</v>
      </c>
    </row>
    <row r="938" spans="1:8" x14ac:dyDescent="0.25">
      <c r="A938" s="4" t="str">
        <f>"CAMISETA - OFF WHITE BSTRDS COMPANY (GG) "</f>
        <v xml:space="preserve">CAMISETA - OFF WHITE BSTRDS COMPANY (GG) </v>
      </c>
      <c r="B938" s="4" t="s">
        <v>244</v>
      </c>
      <c r="C938" s="5">
        <v>110</v>
      </c>
      <c r="D938" s="5">
        <v>45</v>
      </c>
      <c r="F938" s="4" t="s">
        <v>9</v>
      </c>
      <c r="G938" s="4" t="s">
        <v>537</v>
      </c>
      <c r="H938" s="6" t="s">
        <v>11</v>
      </c>
    </row>
    <row r="939" spans="1:8" x14ac:dyDescent="0.25">
      <c r="A939" s="4" t="str">
        <f>"CAMISETA - OFF WHITE BSTRDS COMPANY (M) "</f>
        <v xml:space="preserve">CAMISETA - OFF WHITE BSTRDS COMPANY (M) </v>
      </c>
      <c r="B939" s="4" t="s">
        <v>244</v>
      </c>
      <c r="C939" s="5">
        <v>110</v>
      </c>
      <c r="D939" s="5">
        <v>45</v>
      </c>
      <c r="F939" s="4" t="s">
        <v>9</v>
      </c>
      <c r="G939" s="4" t="s">
        <v>538</v>
      </c>
      <c r="H939" s="6" t="s">
        <v>11</v>
      </c>
    </row>
    <row r="940" spans="1:8" x14ac:dyDescent="0.25">
      <c r="A940" s="4" t="s">
        <v>539</v>
      </c>
      <c r="B940" s="4" t="s">
        <v>244</v>
      </c>
      <c r="C940" s="5">
        <v>110</v>
      </c>
      <c r="D940" s="5">
        <v>45</v>
      </c>
      <c r="F940" s="4" t="s">
        <v>9</v>
      </c>
      <c r="G940" s="4" t="s">
        <v>540</v>
      </c>
      <c r="H940" s="6" t="s">
        <v>11</v>
      </c>
    </row>
    <row r="941" spans="1:8" x14ac:dyDescent="0.25">
      <c r="A941" s="4" t="str">
        <f>"CAMISETA - OFF WHITE BSTRDS COMPANY (XG) "</f>
        <v xml:space="preserve">CAMISETA - OFF WHITE BSTRDS COMPANY (XG) </v>
      </c>
      <c r="B941" s="4" t="s">
        <v>244</v>
      </c>
      <c r="C941" s="5">
        <v>110</v>
      </c>
      <c r="D941" s="5">
        <v>45</v>
      </c>
      <c r="F941" s="4" t="s">
        <v>9</v>
      </c>
      <c r="G941" s="4" t="s">
        <v>541</v>
      </c>
      <c r="H941" s="6" t="s">
        <v>11</v>
      </c>
    </row>
    <row r="942" spans="1:8" x14ac:dyDescent="0.25">
      <c r="A942" s="4" t="s">
        <v>557</v>
      </c>
      <c r="B942" s="4" t="s">
        <v>244</v>
      </c>
      <c r="C942" s="5">
        <v>90</v>
      </c>
      <c r="F942" s="4" t="s">
        <v>9</v>
      </c>
      <c r="G942" s="4" t="s">
        <v>558</v>
      </c>
      <c r="H942" s="6" t="s">
        <v>11</v>
      </c>
    </row>
    <row r="943" spans="1:8" x14ac:dyDescent="0.25">
      <c r="A943" s="4" t="s">
        <v>559</v>
      </c>
      <c r="B943" s="4" t="s">
        <v>244</v>
      </c>
      <c r="C943" s="5">
        <v>90</v>
      </c>
      <c r="F943" s="4" t="s">
        <v>9</v>
      </c>
      <c r="G943" s="4" t="s">
        <v>560</v>
      </c>
      <c r="H943" s="6" t="s">
        <v>11</v>
      </c>
    </row>
    <row r="944" spans="1:8" x14ac:dyDescent="0.25">
      <c r="A944" s="4" t="s">
        <v>561</v>
      </c>
      <c r="B944" s="4" t="s">
        <v>244</v>
      </c>
      <c r="C944" s="5">
        <v>90</v>
      </c>
      <c r="F944" s="4" t="s">
        <v>9</v>
      </c>
      <c r="G944" s="4" t="s">
        <v>562</v>
      </c>
      <c r="H944" s="6" t="s">
        <v>11</v>
      </c>
    </row>
    <row r="945" spans="1:8" x14ac:dyDescent="0.25">
      <c r="A945" s="4" t="s">
        <v>563</v>
      </c>
      <c r="B945" s="4" t="s">
        <v>244</v>
      </c>
      <c r="C945" s="5">
        <v>90</v>
      </c>
      <c r="D945" s="5">
        <v>50</v>
      </c>
      <c r="F945" s="4" t="s">
        <v>9</v>
      </c>
      <c r="G945" s="4" t="s">
        <v>564</v>
      </c>
      <c r="H945" s="6" t="s">
        <v>11</v>
      </c>
    </row>
    <row r="946" spans="1:8" x14ac:dyDescent="0.25">
      <c r="A946" s="4" t="s">
        <v>565</v>
      </c>
      <c r="B946" s="4" t="s">
        <v>244</v>
      </c>
      <c r="C946" s="5">
        <v>90</v>
      </c>
      <c r="D946" s="5">
        <v>63</v>
      </c>
      <c r="F946" s="4" t="s">
        <v>9</v>
      </c>
      <c r="G946" s="4" t="s">
        <v>566</v>
      </c>
      <c r="H946" s="6" t="s">
        <v>11</v>
      </c>
    </row>
    <row r="947" spans="1:8" x14ac:dyDescent="0.25">
      <c r="A947" s="4" t="s">
        <v>567</v>
      </c>
      <c r="B947" s="4" t="s">
        <v>244</v>
      </c>
      <c r="C947" s="5">
        <v>90</v>
      </c>
      <c r="D947" s="5">
        <v>50</v>
      </c>
      <c r="F947" s="4" t="s">
        <v>9</v>
      </c>
      <c r="G947" s="4" t="s">
        <v>568</v>
      </c>
      <c r="H947" s="6" t="s">
        <v>11</v>
      </c>
    </row>
    <row r="948" spans="1:8" x14ac:dyDescent="0.25">
      <c r="A948" s="4" t="s">
        <v>584</v>
      </c>
      <c r="B948" s="4" t="s">
        <v>244</v>
      </c>
      <c r="C948" s="5">
        <v>80</v>
      </c>
      <c r="F948" s="4" t="s">
        <v>9</v>
      </c>
      <c r="G948" s="4" t="s">
        <v>585</v>
      </c>
      <c r="H948" s="6" t="s">
        <v>11</v>
      </c>
    </row>
    <row r="949" spans="1:8" x14ac:dyDescent="0.25">
      <c r="A949" s="4" t="s">
        <v>586</v>
      </c>
      <c r="B949" s="4" t="s">
        <v>244</v>
      </c>
      <c r="C949" s="5">
        <v>80</v>
      </c>
      <c r="F949" s="4" t="s">
        <v>9</v>
      </c>
      <c r="G949" s="4" t="s">
        <v>587</v>
      </c>
      <c r="H949" s="6" t="s">
        <v>11</v>
      </c>
    </row>
    <row r="950" spans="1:8" x14ac:dyDescent="0.25">
      <c r="A950" s="4" t="s">
        <v>588</v>
      </c>
      <c r="B950" s="4" t="s">
        <v>244</v>
      </c>
      <c r="C950" s="5">
        <v>80</v>
      </c>
      <c r="D950" s="5">
        <v>38</v>
      </c>
      <c r="F950" s="4" t="s">
        <v>9</v>
      </c>
      <c r="G950" s="4" t="s">
        <v>589</v>
      </c>
      <c r="H950" s="6" t="s">
        <v>11</v>
      </c>
    </row>
    <row r="951" spans="1:8" x14ac:dyDescent="0.25">
      <c r="A951" s="4" t="s">
        <v>590</v>
      </c>
      <c r="B951" s="4" t="s">
        <v>244</v>
      </c>
      <c r="C951" s="5">
        <v>80</v>
      </c>
      <c r="D951" s="5">
        <v>38</v>
      </c>
      <c r="F951" s="4" t="s">
        <v>9</v>
      </c>
      <c r="G951" s="4" t="s">
        <v>591</v>
      </c>
      <c r="H951" s="6" t="s">
        <v>11</v>
      </c>
    </row>
    <row r="952" spans="1:8" x14ac:dyDescent="0.25">
      <c r="A952" s="4" t="s">
        <v>592</v>
      </c>
      <c r="B952" s="4" t="s">
        <v>244</v>
      </c>
      <c r="C952" s="5">
        <v>80</v>
      </c>
      <c r="D952" s="5">
        <v>38</v>
      </c>
      <c r="F952" s="4" t="s">
        <v>9</v>
      </c>
      <c r="G952" s="4" t="s">
        <v>593</v>
      </c>
      <c r="H952" s="6" t="s">
        <v>11</v>
      </c>
    </row>
    <row r="953" spans="1:8" x14ac:dyDescent="0.25">
      <c r="A953" s="4" t="s">
        <v>594</v>
      </c>
      <c r="B953" s="4" t="s">
        <v>244</v>
      </c>
      <c r="C953" s="5">
        <v>80</v>
      </c>
      <c r="D953" s="5">
        <v>38</v>
      </c>
      <c r="F953" s="4" t="s">
        <v>9</v>
      </c>
      <c r="G953" s="4" t="s">
        <v>595</v>
      </c>
      <c r="H953" s="6" t="s">
        <v>11</v>
      </c>
    </row>
    <row r="954" spans="1:8" x14ac:dyDescent="0.25">
      <c r="A954" s="4" t="s">
        <v>596</v>
      </c>
      <c r="B954" s="4" t="s">
        <v>244</v>
      </c>
      <c r="C954" s="5">
        <v>80</v>
      </c>
      <c r="D954" s="5">
        <v>38</v>
      </c>
      <c r="E954" s="5">
        <v>2</v>
      </c>
      <c r="F954" s="4" t="s">
        <v>9</v>
      </c>
      <c r="G954" s="4" t="s">
        <v>597</v>
      </c>
      <c r="H954" s="6" t="s">
        <v>11</v>
      </c>
    </row>
    <row r="955" spans="1:8" x14ac:dyDescent="0.25">
      <c r="A955" s="4" t="s">
        <v>607</v>
      </c>
      <c r="B955" s="4" t="s">
        <v>244</v>
      </c>
      <c r="C955" s="5">
        <v>110</v>
      </c>
      <c r="D955" s="5">
        <v>50</v>
      </c>
      <c r="F955" s="4" t="s">
        <v>9</v>
      </c>
      <c r="G955" s="4" t="s">
        <v>608</v>
      </c>
      <c r="H955" s="6" t="s">
        <v>11</v>
      </c>
    </row>
    <row r="956" spans="1:8" x14ac:dyDescent="0.25">
      <c r="A956" s="4" t="str">
        <f>"CAMISETA PRETA ESTONADA BSTRDS COMPANY (G) "</f>
        <v xml:space="preserve">CAMISETA PRETA ESTONADA BSTRDS COMPANY (G) </v>
      </c>
      <c r="B956" s="4" t="s">
        <v>244</v>
      </c>
      <c r="C956" s="5">
        <v>110</v>
      </c>
      <c r="D956" s="5">
        <v>55.94</v>
      </c>
      <c r="F956" s="4" t="s">
        <v>9</v>
      </c>
      <c r="G956" s="4" t="s">
        <v>609</v>
      </c>
      <c r="H956" s="6" t="s">
        <v>11</v>
      </c>
    </row>
    <row r="957" spans="1:8" x14ac:dyDescent="0.25">
      <c r="A957" s="4" t="str">
        <f>"CAMISETA PRETA ESTONADA BSTRDS COMPANY (GG) "</f>
        <v xml:space="preserve">CAMISETA PRETA ESTONADA BSTRDS COMPANY (GG) </v>
      </c>
      <c r="B957" s="4" t="s">
        <v>244</v>
      </c>
      <c r="C957" s="5">
        <v>110</v>
      </c>
      <c r="D957" s="5">
        <v>55.94</v>
      </c>
      <c r="F957" s="4" t="s">
        <v>9</v>
      </c>
      <c r="G957" s="4" t="s">
        <v>610</v>
      </c>
      <c r="H957" s="6" t="s">
        <v>11</v>
      </c>
    </row>
    <row r="958" spans="1:8" x14ac:dyDescent="0.25">
      <c r="A958" s="4" t="str">
        <f>"CAMISETA PRETA ESTONADA BSTRDS COMPANY (M) "</f>
        <v xml:space="preserve">CAMISETA PRETA ESTONADA BSTRDS COMPANY (M) </v>
      </c>
      <c r="B958" s="4" t="s">
        <v>244</v>
      </c>
      <c r="C958" s="5">
        <v>110</v>
      </c>
      <c r="D958" s="5">
        <v>110</v>
      </c>
      <c r="F958" s="4" t="s">
        <v>9</v>
      </c>
      <c r="G958" s="4" t="s">
        <v>611</v>
      </c>
      <c r="H958" s="6" t="s">
        <v>11</v>
      </c>
    </row>
    <row r="959" spans="1:8" x14ac:dyDescent="0.25">
      <c r="A959" s="4" t="s">
        <v>612</v>
      </c>
      <c r="B959" s="4" t="s">
        <v>244</v>
      </c>
      <c r="C959" s="5">
        <v>110</v>
      </c>
      <c r="D959" s="5">
        <v>55.94</v>
      </c>
      <c r="F959" s="4" t="s">
        <v>9</v>
      </c>
      <c r="G959" s="4" t="s">
        <v>613</v>
      </c>
      <c r="H959" s="6" t="s">
        <v>11</v>
      </c>
    </row>
    <row r="960" spans="1:8" x14ac:dyDescent="0.25">
      <c r="A960" s="4" t="str">
        <f>"CAMISETA PRETA ESTONADA BSTRDS COMPANY (XG) "</f>
        <v xml:space="preserve">CAMISETA PRETA ESTONADA BSTRDS COMPANY (XG) </v>
      </c>
      <c r="B960" s="4" t="s">
        <v>244</v>
      </c>
      <c r="C960" s="5">
        <v>110</v>
      </c>
      <c r="D960" s="5">
        <v>55.94</v>
      </c>
      <c r="F960" s="4" t="s">
        <v>9</v>
      </c>
      <c r="G960" s="4" t="s">
        <v>614</v>
      </c>
      <c r="H960" s="6" t="s">
        <v>11</v>
      </c>
    </row>
    <row r="961" spans="1:8" x14ac:dyDescent="0.25">
      <c r="A961" s="4" t="s">
        <v>629</v>
      </c>
      <c r="B961" s="4" t="s">
        <v>244</v>
      </c>
      <c r="C961" s="5">
        <v>90</v>
      </c>
      <c r="D961" s="5">
        <v>50</v>
      </c>
      <c r="F961" s="4" t="s">
        <v>9</v>
      </c>
      <c r="G961" s="4" t="s">
        <v>630</v>
      </c>
      <c r="H961" s="6" t="s">
        <v>11</v>
      </c>
    </row>
    <row r="962" spans="1:8" x14ac:dyDescent="0.25">
      <c r="A962" s="4" t="s">
        <v>631</v>
      </c>
      <c r="B962" s="4" t="s">
        <v>244</v>
      </c>
      <c r="C962" s="5">
        <v>90</v>
      </c>
      <c r="D962" s="5">
        <v>50</v>
      </c>
      <c r="F962" s="4" t="s">
        <v>9</v>
      </c>
      <c r="G962" s="4" t="s">
        <v>632</v>
      </c>
      <c r="H962" s="6" t="s">
        <v>11</v>
      </c>
    </row>
    <row r="963" spans="1:8" x14ac:dyDescent="0.25">
      <c r="A963" s="4" t="s">
        <v>633</v>
      </c>
      <c r="B963" s="4" t="s">
        <v>244</v>
      </c>
      <c r="C963" s="5">
        <v>90</v>
      </c>
      <c r="D963" s="5">
        <v>50</v>
      </c>
      <c r="F963" s="4" t="s">
        <v>9</v>
      </c>
      <c r="G963" s="4" t="s">
        <v>634</v>
      </c>
      <c r="H963" s="6" t="s">
        <v>11</v>
      </c>
    </row>
    <row r="964" spans="1:8" x14ac:dyDescent="0.25">
      <c r="A964" s="4" t="s">
        <v>635</v>
      </c>
      <c r="B964" s="4" t="s">
        <v>244</v>
      </c>
      <c r="C964" s="5">
        <v>90</v>
      </c>
      <c r="D964" s="5">
        <v>50</v>
      </c>
      <c r="F964" s="4" t="s">
        <v>9</v>
      </c>
      <c r="G964" s="4" t="s">
        <v>636</v>
      </c>
      <c r="H964" s="6" t="s">
        <v>11</v>
      </c>
    </row>
    <row r="965" spans="1:8" x14ac:dyDescent="0.25">
      <c r="A965" s="4" t="s">
        <v>637</v>
      </c>
      <c r="B965" s="4" t="s">
        <v>244</v>
      </c>
      <c r="C965" s="5">
        <v>90</v>
      </c>
      <c r="D965" s="5">
        <v>63</v>
      </c>
      <c r="F965" s="4" t="s">
        <v>9</v>
      </c>
      <c r="G965" s="4" t="s">
        <v>638</v>
      </c>
      <c r="H965" s="6" t="s">
        <v>11</v>
      </c>
    </row>
    <row r="966" spans="1:8" x14ac:dyDescent="0.25">
      <c r="A966" s="4" t="s">
        <v>639</v>
      </c>
      <c r="B966" s="4" t="s">
        <v>244</v>
      </c>
      <c r="C966" s="5">
        <v>90</v>
      </c>
      <c r="D966" s="5">
        <v>63</v>
      </c>
      <c r="F966" s="4" t="s">
        <v>9</v>
      </c>
      <c r="G966" s="4" t="s">
        <v>640</v>
      </c>
      <c r="H966" s="6" t="s">
        <v>11</v>
      </c>
    </row>
    <row r="967" spans="1:8" x14ac:dyDescent="0.25">
      <c r="A967" s="4" t="s">
        <v>648</v>
      </c>
      <c r="B967" s="4" t="s">
        <v>244</v>
      </c>
      <c r="C967" s="5">
        <v>22.5</v>
      </c>
      <c r="D967" s="5">
        <v>24.69</v>
      </c>
      <c r="F967" s="4" t="s">
        <v>9</v>
      </c>
      <c r="G967" s="4" t="s">
        <v>649</v>
      </c>
      <c r="H967" s="6" t="s">
        <v>11</v>
      </c>
    </row>
    <row r="968" spans="1:8" x14ac:dyDescent="0.25">
      <c r="A968" s="4" t="s">
        <v>650</v>
      </c>
      <c r="B968" s="4" t="s">
        <v>244</v>
      </c>
      <c r="C968" s="5">
        <v>22.5</v>
      </c>
      <c r="D968" s="5">
        <v>24.47</v>
      </c>
      <c r="F968" s="4" t="s">
        <v>9</v>
      </c>
      <c r="G968" s="4" t="s">
        <v>651</v>
      </c>
      <c r="H968" s="6" t="s">
        <v>11</v>
      </c>
    </row>
    <row r="969" spans="1:8" x14ac:dyDescent="0.25">
      <c r="A969" s="4" t="s">
        <v>699</v>
      </c>
      <c r="B969" s="4" t="s">
        <v>244</v>
      </c>
      <c r="C969" s="5">
        <v>100</v>
      </c>
      <c r="F969" s="4" t="s">
        <v>9</v>
      </c>
      <c r="G969" s="4" t="s">
        <v>700</v>
      </c>
      <c r="H969" s="6" t="s">
        <v>11</v>
      </c>
    </row>
    <row r="970" spans="1:8" x14ac:dyDescent="0.25">
      <c r="A970" s="4" t="s">
        <v>701</v>
      </c>
      <c r="B970" s="4" t="s">
        <v>244</v>
      </c>
      <c r="C970" s="5">
        <v>85</v>
      </c>
      <c r="F970" s="4" t="s">
        <v>9</v>
      </c>
      <c r="G970" s="4" t="s">
        <v>702</v>
      </c>
      <c r="H970" s="6" t="s">
        <v>11</v>
      </c>
    </row>
    <row r="971" spans="1:8" x14ac:dyDescent="0.25">
      <c r="A971" s="4" t="s">
        <v>704</v>
      </c>
      <c r="B971" s="4" t="s">
        <v>244</v>
      </c>
      <c r="C971" s="5">
        <v>280</v>
      </c>
      <c r="F971" s="4" t="s">
        <v>9</v>
      </c>
      <c r="G971" s="4" t="s">
        <v>705</v>
      </c>
      <c r="H971" s="6" t="s">
        <v>11</v>
      </c>
    </row>
    <row r="972" spans="1:8" x14ac:dyDescent="0.25">
      <c r="A972" s="4" t="s">
        <v>710</v>
      </c>
      <c r="B972" s="4" t="s">
        <v>244</v>
      </c>
      <c r="C972" s="5">
        <v>28.9</v>
      </c>
      <c r="F972" s="4" t="s">
        <v>9</v>
      </c>
      <c r="G972" s="4" t="s">
        <v>711</v>
      </c>
      <c r="H972" s="6" t="s">
        <v>11</v>
      </c>
    </row>
    <row r="973" spans="1:8" x14ac:dyDescent="0.25">
      <c r="A973" s="4" t="s">
        <v>735</v>
      </c>
      <c r="B973" s="4" t="s">
        <v>244</v>
      </c>
      <c r="C973" s="5">
        <v>28.9</v>
      </c>
      <c r="F973" s="4" t="s">
        <v>9</v>
      </c>
      <c r="G973" s="4" t="s">
        <v>736</v>
      </c>
      <c r="H973" s="6" t="s">
        <v>11</v>
      </c>
    </row>
    <row r="974" spans="1:8" x14ac:dyDescent="0.25">
      <c r="A974" s="4" t="s">
        <v>737</v>
      </c>
      <c r="B974" s="4" t="s">
        <v>244</v>
      </c>
      <c r="C974" s="5">
        <v>24.9</v>
      </c>
      <c r="D974" s="5">
        <v>13.07</v>
      </c>
      <c r="F974" s="4" t="s">
        <v>9</v>
      </c>
      <c r="G974" s="4" t="s">
        <v>738</v>
      </c>
      <c r="H974" s="6" t="s">
        <v>11</v>
      </c>
    </row>
    <row r="975" spans="1:8" x14ac:dyDescent="0.25">
      <c r="A975" s="4" t="s">
        <v>739</v>
      </c>
      <c r="B975" s="4" t="s">
        <v>244</v>
      </c>
      <c r="C975" s="5">
        <v>24.9</v>
      </c>
      <c r="D975" s="5">
        <v>17.62</v>
      </c>
      <c r="F975" s="4" t="s">
        <v>9</v>
      </c>
      <c r="G975" s="4" t="s">
        <v>740</v>
      </c>
      <c r="H975" s="6" t="s">
        <v>11</v>
      </c>
    </row>
    <row r="976" spans="1:8" x14ac:dyDescent="0.25">
      <c r="A976" s="4" t="s">
        <v>741</v>
      </c>
      <c r="B976" s="4" t="s">
        <v>244</v>
      </c>
      <c r="C976" s="5">
        <v>24.9</v>
      </c>
      <c r="D976" s="5">
        <v>16.37</v>
      </c>
      <c r="F976" s="4" t="s">
        <v>9</v>
      </c>
      <c r="G976" s="4" t="s">
        <v>742</v>
      </c>
      <c r="H976" s="6" t="s">
        <v>11</v>
      </c>
    </row>
    <row r="977" spans="1:8" x14ac:dyDescent="0.25">
      <c r="A977" s="4" t="s">
        <v>743</v>
      </c>
      <c r="B977" s="4" t="s">
        <v>244</v>
      </c>
      <c r="C977" s="5">
        <v>28.9</v>
      </c>
      <c r="D977" s="5">
        <v>20</v>
      </c>
      <c r="F977" s="4" t="s">
        <v>9</v>
      </c>
      <c r="G977" s="4" t="s">
        <v>744</v>
      </c>
      <c r="H977" s="6" t="s">
        <v>11</v>
      </c>
    </row>
    <row r="978" spans="1:8" x14ac:dyDescent="0.25">
      <c r="A978" s="4" t="s">
        <v>745</v>
      </c>
      <c r="B978" s="4" t="s">
        <v>244</v>
      </c>
      <c r="C978" s="5">
        <v>39</v>
      </c>
      <c r="F978" s="4" t="s">
        <v>9</v>
      </c>
      <c r="G978" s="4" t="s">
        <v>746</v>
      </c>
      <c r="H978" s="6" t="s">
        <v>11</v>
      </c>
    </row>
    <row r="979" spans="1:8" x14ac:dyDescent="0.25">
      <c r="A979" s="4" t="str">
        <f>"CERVEJA ALL ALONG - LATA 473ML "</f>
        <v xml:space="preserve">CERVEJA ALL ALONG - LATA 473ML </v>
      </c>
      <c r="B979" s="4" t="s">
        <v>244</v>
      </c>
      <c r="C979" s="5">
        <v>24.9</v>
      </c>
      <c r="D979" s="5">
        <v>17.7</v>
      </c>
      <c r="F979" s="4" t="s">
        <v>9</v>
      </c>
      <c r="G979" s="4" t="s">
        <v>747</v>
      </c>
      <c r="H979" s="6" t="s">
        <v>11</v>
      </c>
    </row>
    <row r="980" spans="1:8" x14ac:dyDescent="0.25">
      <c r="A980" s="4" t="str">
        <f>"CERVEJA BARK N HONK  LATA 473ML "</f>
        <v xml:space="preserve">CERVEJA BARK N HONK  LATA 473ML </v>
      </c>
      <c r="B980" s="4" t="s">
        <v>244</v>
      </c>
      <c r="C980" s="5">
        <v>30</v>
      </c>
      <c r="D980" s="5">
        <v>20.9</v>
      </c>
      <c r="F980" s="4" t="s">
        <v>9</v>
      </c>
      <c r="G980" s="4" t="s">
        <v>748</v>
      </c>
      <c r="H980" s="6" t="s">
        <v>11</v>
      </c>
    </row>
    <row r="981" spans="1:8" x14ac:dyDescent="0.25">
      <c r="A981" s="4" t="s">
        <v>749</v>
      </c>
      <c r="B981" s="4" t="s">
        <v>244</v>
      </c>
      <c r="C981" s="5">
        <v>15.9</v>
      </c>
      <c r="F981" s="4" t="s">
        <v>9</v>
      </c>
      <c r="G981" s="4" t="s">
        <v>750</v>
      </c>
      <c r="H981" s="6" t="s">
        <v>11</v>
      </c>
    </row>
    <row r="982" spans="1:8" x14ac:dyDescent="0.25">
      <c r="A982" s="4" t="s">
        <v>753</v>
      </c>
      <c r="B982" s="4" t="s">
        <v>244</v>
      </c>
      <c r="C982" s="5">
        <v>28.9</v>
      </c>
      <c r="D982" s="5">
        <v>15.73</v>
      </c>
      <c r="F982" s="4" t="s">
        <v>9</v>
      </c>
      <c r="G982" s="4" t="s">
        <v>754</v>
      </c>
      <c r="H982" s="6" t="s">
        <v>11</v>
      </c>
    </row>
    <row r="983" spans="1:8" x14ac:dyDescent="0.25">
      <c r="A983" s="4" t="s">
        <v>761</v>
      </c>
      <c r="B983" s="4" t="s">
        <v>244</v>
      </c>
      <c r="C983" s="5">
        <v>28.9</v>
      </c>
      <c r="F983" s="4" t="s">
        <v>9</v>
      </c>
      <c r="G983" s="4" t="s">
        <v>762</v>
      </c>
      <c r="H983" s="6" t="s">
        <v>11</v>
      </c>
    </row>
    <row r="984" spans="1:8" x14ac:dyDescent="0.25">
      <c r="A984" s="4" t="str">
        <f>"CERVEJA DEADLY PEACH  LATA 473ML "</f>
        <v xml:space="preserve">CERVEJA DEADLY PEACH  LATA 473ML </v>
      </c>
      <c r="B984" s="4" t="s">
        <v>244</v>
      </c>
      <c r="C984" s="5">
        <v>30</v>
      </c>
      <c r="D984" s="5">
        <v>20.9</v>
      </c>
      <c r="F984" s="4" t="s">
        <v>9</v>
      </c>
      <c r="G984" s="4" t="s">
        <v>763</v>
      </c>
      <c r="H984" s="6" t="s">
        <v>11</v>
      </c>
    </row>
    <row r="985" spans="1:8" x14ac:dyDescent="0.25">
      <c r="A985" s="4" t="str">
        <f>"CERVEJA DOG SAVE THE BEER -LATA 473ML "</f>
        <v xml:space="preserve">CERVEJA DOG SAVE THE BEER -LATA 473ML </v>
      </c>
      <c r="B985" s="4" t="s">
        <v>244</v>
      </c>
      <c r="C985" s="5">
        <v>24.9</v>
      </c>
      <c r="D985" s="5">
        <v>14.1</v>
      </c>
      <c r="F985" s="4" t="s">
        <v>9</v>
      </c>
      <c r="G985" s="4" t="s">
        <v>764</v>
      </c>
      <c r="H985" s="6" t="s">
        <v>11</v>
      </c>
    </row>
    <row r="986" spans="1:8" x14ac:dyDescent="0.25">
      <c r="A986" s="4" t="s">
        <v>765</v>
      </c>
      <c r="B986" s="4" t="s">
        <v>244</v>
      </c>
      <c r="C986" s="5">
        <v>28.9</v>
      </c>
      <c r="F986" s="4" t="s">
        <v>9</v>
      </c>
      <c r="G986" s="4" t="s">
        <v>766</v>
      </c>
      <c r="H986" s="6" t="s">
        <v>11</v>
      </c>
    </row>
    <row r="987" spans="1:8" x14ac:dyDescent="0.25">
      <c r="A987" s="4" t="s">
        <v>767</v>
      </c>
      <c r="B987" s="4" t="s">
        <v>244</v>
      </c>
      <c r="C987" s="5">
        <v>32.9</v>
      </c>
      <c r="D987" s="5">
        <v>20.9</v>
      </c>
      <c r="F987" s="4" t="s">
        <v>9</v>
      </c>
      <c r="G987" s="4" t="s">
        <v>768</v>
      </c>
      <c r="H987" s="6" t="s">
        <v>11</v>
      </c>
    </row>
    <row r="988" spans="1:8" x14ac:dyDescent="0.25">
      <c r="A988" s="4" t="s">
        <v>769</v>
      </c>
      <c r="B988" s="4" t="s">
        <v>244</v>
      </c>
      <c r="C988" s="5">
        <v>28.9</v>
      </c>
      <c r="D988" s="5">
        <v>20.9</v>
      </c>
      <c r="F988" s="4" t="s">
        <v>9</v>
      </c>
      <c r="G988" s="4" t="s">
        <v>770</v>
      </c>
      <c r="H988" s="6" t="s">
        <v>11</v>
      </c>
    </row>
    <row r="989" spans="1:8" x14ac:dyDescent="0.25">
      <c r="A989" s="4" t="s">
        <v>771</v>
      </c>
      <c r="B989" s="4" t="s">
        <v>244</v>
      </c>
      <c r="C989" s="5">
        <v>28.9</v>
      </c>
      <c r="D989" s="5">
        <v>14.15</v>
      </c>
      <c r="E989" s="5">
        <v>68</v>
      </c>
      <c r="F989" s="4" t="s">
        <v>9</v>
      </c>
      <c r="G989" s="4" t="s">
        <v>772</v>
      </c>
      <c r="H989" s="6" t="s">
        <v>11</v>
      </c>
    </row>
    <row r="990" spans="1:8" x14ac:dyDescent="0.25">
      <c r="A990" s="4" t="str">
        <f>"CERVEJA HOP HEADS LATA 473ML - "</f>
        <v xml:space="preserve">CERVEJA HOP HEADS LATA 473ML - </v>
      </c>
      <c r="B990" s="4" t="s">
        <v>244</v>
      </c>
      <c r="C990" s="5">
        <v>24.9</v>
      </c>
      <c r="D990" s="5">
        <v>14.99</v>
      </c>
      <c r="F990" s="4" t="s">
        <v>9</v>
      </c>
      <c r="G990" s="4" t="s">
        <v>773</v>
      </c>
      <c r="H990" s="6" t="s">
        <v>11</v>
      </c>
    </row>
    <row r="991" spans="1:8" x14ac:dyDescent="0.25">
      <c r="A991" s="4" t="str">
        <f>"CERVEJA JEAN LE BLANC  LATA 473ML "</f>
        <v xml:space="preserve">CERVEJA JEAN LE BLANC  LATA 473ML </v>
      </c>
      <c r="B991" s="4" t="s">
        <v>244</v>
      </c>
      <c r="C991" s="5">
        <v>24.9</v>
      </c>
      <c r="D991" s="5">
        <v>13.52</v>
      </c>
      <c r="E991" s="5">
        <v>40</v>
      </c>
      <c r="F991" s="4" t="s">
        <v>9</v>
      </c>
      <c r="G991" s="4" t="s">
        <v>774</v>
      </c>
      <c r="H991" s="6" t="s">
        <v>11</v>
      </c>
    </row>
    <row r="992" spans="1:8" x14ac:dyDescent="0.25">
      <c r="A992" s="4" t="s">
        <v>775</v>
      </c>
      <c r="B992" s="4" t="s">
        <v>244</v>
      </c>
      <c r="C992" s="5">
        <v>28.9</v>
      </c>
      <c r="D992" s="5">
        <v>15.51</v>
      </c>
      <c r="F992" s="4" t="s">
        <v>9</v>
      </c>
      <c r="G992" s="4" t="s">
        <v>776</v>
      </c>
      <c r="H992" s="6" t="s">
        <v>11</v>
      </c>
    </row>
    <row r="993" spans="1:8" x14ac:dyDescent="0.25">
      <c r="A993" s="4" t="s">
        <v>777</v>
      </c>
      <c r="B993" s="4" t="s">
        <v>244</v>
      </c>
      <c r="C993" s="5">
        <v>12.9</v>
      </c>
      <c r="D993" s="5">
        <v>8.65</v>
      </c>
      <c r="E993" s="5">
        <v>196</v>
      </c>
      <c r="F993" s="4" t="s">
        <v>9</v>
      </c>
      <c r="G993" s="4" t="s">
        <v>778</v>
      </c>
      <c r="H993" s="6" t="s">
        <v>11</v>
      </c>
    </row>
    <row r="994" spans="1:8" x14ac:dyDescent="0.25">
      <c r="A994" s="4" t="s">
        <v>779</v>
      </c>
      <c r="B994" s="4" t="s">
        <v>244</v>
      </c>
      <c r="C994" s="5">
        <v>32.9</v>
      </c>
      <c r="D994" s="5">
        <v>20.83</v>
      </c>
      <c r="F994" s="4" t="s">
        <v>9</v>
      </c>
      <c r="G994" s="4" t="s">
        <v>780</v>
      </c>
      <c r="H994" s="6" t="s">
        <v>11</v>
      </c>
    </row>
    <row r="995" spans="1:8" x14ac:dyDescent="0.25">
      <c r="A995" s="4" t="str">
        <f>"CERVEJA ODISSEIA DA SERIGUELA LATA 473ML "</f>
        <v xml:space="preserve">CERVEJA ODISSEIA DA SERIGUELA LATA 473ML </v>
      </c>
      <c r="B995" s="4" t="s">
        <v>244</v>
      </c>
      <c r="C995" s="5">
        <v>28.9</v>
      </c>
      <c r="D995" s="5">
        <v>20.9</v>
      </c>
      <c r="F995" s="4" t="s">
        <v>9</v>
      </c>
      <c r="G995" s="4" t="s">
        <v>781</v>
      </c>
      <c r="H995" s="6" t="s">
        <v>11</v>
      </c>
    </row>
    <row r="996" spans="1:8" x14ac:dyDescent="0.25">
      <c r="A996" s="4" t="s">
        <v>782</v>
      </c>
      <c r="B996" s="4" t="s">
        <v>244</v>
      </c>
      <c r="C996" s="5">
        <v>32.9</v>
      </c>
      <c r="D996" s="5">
        <v>22.9</v>
      </c>
      <c r="F996" s="4" t="s">
        <v>9</v>
      </c>
      <c r="G996" s="4" t="s">
        <v>783</v>
      </c>
      <c r="H996" s="6" t="s">
        <v>11</v>
      </c>
    </row>
    <row r="997" spans="1:8" x14ac:dyDescent="0.25">
      <c r="A997" s="4" t="str">
        <f>"CERVEJA PINA Á VIVA  LATA 473ML "</f>
        <v xml:space="preserve">CERVEJA PINA Á VIVA  LATA 473ML </v>
      </c>
      <c r="B997" s="4" t="s">
        <v>244</v>
      </c>
      <c r="C997" s="5">
        <v>28.9</v>
      </c>
      <c r="D997" s="5">
        <v>15.81</v>
      </c>
      <c r="E997" s="5">
        <v>12</v>
      </c>
      <c r="F997" s="4" t="s">
        <v>9</v>
      </c>
      <c r="G997" s="4" t="s">
        <v>784</v>
      </c>
      <c r="H997" s="6" t="s">
        <v>11</v>
      </c>
    </row>
    <row r="998" spans="1:8" x14ac:dyDescent="0.25">
      <c r="A998" s="4" t="str">
        <f>"CERVEJA SIM SUMMER SEM ALCOOL LATA 350ML "</f>
        <v xml:space="preserve">CERVEJA SIM SUMMER SEM ALCOOL LATA 350ML </v>
      </c>
      <c r="B998" s="4" t="s">
        <v>244</v>
      </c>
      <c r="C998" s="5">
        <v>24.9</v>
      </c>
      <c r="D998" s="5">
        <v>10.67</v>
      </c>
      <c r="F998" s="4" t="s">
        <v>9</v>
      </c>
      <c r="G998" s="4" t="s">
        <v>785</v>
      </c>
      <c r="H998" s="6" t="s">
        <v>11</v>
      </c>
    </row>
    <row r="999" spans="1:8" x14ac:dyDescent="0.25">
      <c r="A999" s="4" t="str">
        <f>"CERVEJA WILLIE THE BITTER  LATA 473ML "</f>
        <v xml:space="preserve">CERVEJA WILLIE THE BITTER  LATA 473ML </v>
      </c>
      <c r="B999" s="4" t="s">
        <v>244</v>
      </c>
      <c r="C999" s="5">
        <v>24.9</v>
      </c>
      <c r="D999" s="5">
        <v>13.67</v>
      </c>
      <c r="E999" s="5">
        <v>28</v>
      </c>
      <c r="F999" s="4" t="s">
        <v>9</v>
      </c>
      <c r="G999" s="4" t="s">
        <v>786</v>
      </c>
      <c r="H999" s="6" t="s">
        <v>11</v>
      </c>
    </row>
    <row r="1000" spans="1:8" x14ac:dyDescent="0.25">
      <c r="A1000" s="4" t="s">
        <v>787</v>
      </c>
      <c r="B1000" s="4" t="s">
        <v>244</v>
      </c>
      <c r="C1000" s="5">
        <v>28.9</v>
      </c>
      <c r="F1000" s="4" t="s">
        <v>9</v>
      </c>
      <c r="G1000" s="4" t="s">
        <v>788</v>
      </c>
      <c r="H1000" s="6" t="s">
        <v>11</v>
      </c>
    </row>
    <row r="1001" spans="1:8" x14ac:dyDescent="0.25">
      <c r="A1001" s="4" t="s">
        <v>789</v>
      </c>
      <c r="B1001" s="4" t="s">
        <v>244</v>
      </c>
      <c r="C1001" s="5">
        <v>24.9</v>
      </c>
      <c r="D1001" s="5">
        <v>16.7</v>
      </c>
      <c r="F1001" s="4" t="s">
        <v>9</v>
      </c>
      <c r="G1001" s="4" t="s">
        <v>790</v>
      </c>
      <c r="H1001" s="6" t="s">
        <v>11</v>
      </c>
    </row>
    <row r="1002" spans="1:8" x14ac:dyDescent="0.25">
      <c r="A1002" s="4" t="s">
        <v>791</v>
      </c>
      <c r="B1002" s="4" t="s">
        <v>244</v>
      </c>
      <c r="C1002" s="5">
        <v>24.9</v>
      </c>
      <c r="D1002" s="5">
        <v>20</v>
      </c>
      <c r="F1002" s="4" t="s">
        <v>9</v>
      </c>
      <c r="G1002" s="4" t="s">
        <v>792</v>
      </c>
      <c r="H1002" s="6" t="s">
        <v>11</v>
      </c>
    </row>
    <row r="1003" spans="1:8" x14ac:dyDescent="0.25">
      <c r="A1003" s="4" t="s">
        <v>793</v>
      </c>
      <c r="B1003" s="4" t="s">
        <v>244</v>
      </c>
      <c r="C1003" s="5">
        <v>24.9</v>
      </c>
      <c r="D1003" s="5">
        <v>12.64</v>
      </c>
      <c r="F1003" s="4" t="s">
        <v>9</v>
      </c>
      <c r="G1003" s="4" t="s">
        <v>794</v>
      </c>
      <c r="H1003" s="6" t="s">
        <v>11</v>
      </c>
    </row>
    <row r="1004" spans="1:8" x14ac:dyDescent="0.25">
      <c r="A1004" s="4" t="str">
        <f>"CHARUTO BELLAS ARTES "</f>
        <v xml:space="preserve">CHARUTO BELLAS ARTES </v>
      </c>
      <c r="B1004" s="4" t="s">
        <v>244</v>
      </c>
      <c r="C1004" s="5">
        <v>140</v>
      </c>
      <c r="D1004" s="5">
        <v>86.4</v>
      </c>
      <c r="F1004" s="4" t="s">
        <v>9</v>
      </c>
      <c r="G1004" s="4" t="s">
        <v>811</v>
      </c>
      <c r="H1004" s="6" t="s">
        <v>11</v>
      </c>
    </row>
    <row r="1005" spans="1:8" x14ac:dyDescent="0.25">
      <c r="A1005" s="4" t="s">
        <v>812</v>
      </c>
      <c r="B1005" s="4" t="s">
        <v>244</v>
      </c>
      <c r="C1005" s="5">
        <v>60</v>
      </c>
      <c r="D1005" s="5">
        <v>55</v>
      </c>
      <c r="F1005" s="4" t="s">
        <v>9</v>
      </c>
      <c r="G1005" s="4" t="s">
        <v>813</v>
      </c>
      <c r="H1005" s="6" t="s">
        <v>11</v>
      </c>
    </row>
    <row r="1006" spans="1:8" x14ac:dyDescent="0.25">
      <c r="A1006" s="4" t="s">
        <v>814</v>
      </c>
      <c r="B1006" s="4" t="s">
        <v>244</v>
      </c>
      <c r="C1006" s="5">
        <v>55</v>
      </c>
      <c r="D1006" s="5">
        <v>60.64</v>
      </c>
      <c r="F1006" s="4" t="s">
        <v>9</v>
      </c>
      <c r="G1006" s="4" t="s">
        <v>815</v>
      </c>
      <c r="H1006" s="6" t="s">
        <v>11</v>
      </c>
    </row>
    <row r="1007" spans="1:8" x14ac:dyDescent="0.25">
      <c r="A1007" s="4" t="s">
        <v>816</v>
      </c>
      <c r="B1007" s="4" t="s">
        <v>244</v>
      </c>
      <c r="C1007" s="5">
        <v>60</v>
      </c>
      <c r="D1007" s="5">
        <v>60</v>
      </c>
      <c r="F1007" s="4" t="s">
        <v>9</v>
      </c>
      <c r="G1007" s="4" t="s">
        <v>817</v>
      </c>
      <c r="H1007" s="6" t="s">
        <v>11</v>
      </c>
    </row>
    <row r="1008" spans="1:8" x14ac:dyDescent="0.25">
      <c r="A1008" s="4" t="str">
        <f>"CHARUTO JAMM GORDITA "</f>
        <v xml:space="preserve">CHARUTO JAMM GORDITA </v>
      </c>
      <c r="B1008" s="4" t="s">
        <v>244</v>
      </c>
      <c r="C1008" s="5">
        <v>60</v>
      </c>
      <c r="D1008" s="5">
        <v>60</v>
      </c>
      <c r="F1008" s="4" t="s">
        <v>9</v>
      </c>
      <c r="G1008" s="4" t="s">
        <v>818</v>
      </c>
      <c r="H1008" s="6" t="s">
        <v>11</v>
      </c>
    </row>
    <row r="1009" spans="1:8" x14ac:dyDescent="0.25">
      <c r="A1009" s="4" t="s">
        <v>819</v>
      </c>
      <c r="B1009" s="4" t="s">
        <v>244</v>
      </c>
      <c r="C1009" s="5">
        <v>36</v>
      </c>
      <c r="D1009" s="5">
        <v>34.28</v>
      </c>
      <c r="F1009" s="4" t="s">
        <v>9</v>
      </c>
      <c r="G1009" s="4" t="s">
        <v>820</v>
      </c>
      <c r="H1009" s="6" t="s">
        <v>11</v>
      </c>
    </row>
    <row r="1010" spans="1:8" x14ac:dyDescent="0.25">
      <c r="A1010" s="4" t="s">
        <v>821</v>
      </c>
      <c r="B1010" s="4" t="s">
        <v>244</v>
      </c>
      <c r="C1010" s="5">
        <v>120</v>
      </c>
      <c r="D1010" s="5">
        <v>120</v>
      </c>
      <c r="F1010" s="4" t="s">
        <v>9</v>
      </c>
      <c r="G1010" s="4" t="s">
        <v>822</v>
      </c>
      <c r="H1010" s="6" t="s">
        <v>11</v>
      </c>
    </row>
    <row r="1011" spans="1:8" x14ac:dyDescent="0.25">
      <c r="A1011" s="4" t="str">
        <f>"CHARUTO PERLA DEL MAR SHADE ROBUSTO "</f>
        <v xml:space="preserve">CHARUTO PERLA DEL MAR SHADE ROBUSTO </v>
      </c>
      <c r="B1011" s="4" t="s">
        <v>244</v>
      </c>
      <c r="C1011" s="5">
        <v>82</v>
      </c>
      <c r="D1011" s="5">
        <v>82</v>
      </c>
      <c r="F1011" s="4" t="s">
        <v>9</v>
      </c>
      <c r="G1011" s="4" t="s">
        <v>823</v>
      </c>
      <c r="H1011" s="6" t="s">
        <v>11</v>
      </c>
    </row>
    <row r="1012" spans="1:8" x14ac:dyDescent="0.25">
      <c r="A1012" s="4" t="s">
        <v>824</v>
      </c>
      <c r="B1012" s="4" t="s">
        <v>244</v>
      </c>
      <c r="C1012" s="5">
        <v>54</v>
      </c>
      <c r="D1012" s="5">
        <v>54</v>
      </c>
      <c r="F1012" s="4" t="s">
        <v>9</v>
      </c>
      <c r="G1012" s="4" t="s">
        <v>825</v>
      </c>
      <c r="H1012" s="6" t="s">
        <v>11</v>
      </c>
    </row>
    <row r="1013" spans="1:8" x14ac:dyDescent="0.25">
      <c r="A1013" s="4" t="s">
        <v>826</v>
      </c>
      <c r="B1013" s="4" t="s">
        <v>244</v>
      </c>
      <c r="C1013" s="5">
        <v>30</v>
      </c>
      <c r="D1013" s="5">
        <v>30</v>
      </c>
      <c r="F1013" s="4" t="s">
        <v>9</v>
      </c>
      <c r="G1013" s="4" t="s">
        <v>827</v>
      </c>
      <c r="H1013" s="6" t="s">
        <v>11</v>
      </c>
    </row>
    <row r="1014" spans="1:8" x14ac:dyDescent="0.25">
      <c r="A1014" s="4" t="str">
        <f>"CHARUTO TOSCANELLO ROSSO CAFE "</f>
        <v xml:space="preserve">CHARUTO TOSCANELLO ROSSO CAFE </v>
      </c>
      <c r="B1014" s="4" t="s">
        <v>244</v>
      </c>
      <c r="C1014" s="5">
        <v>30</v>
      </c>
      <c r="D1014" s="5">
        <v>10</v>
      </c>
      <c r="F1014" s="4" t="s">
        <v>9</v>
      </c>
      <c r="G1014" s="4" t="s">
        <v>828</v>
      </c>
      <c r="H1014" s="6" t="s">
        <v>11</v>
      </c>
    </row>
    <row r="1015" spans="1:8" x14ac:dyDescent="0.25">
      <c r="A1015" s="4" t="s">
        <v>829</v>
      </c>
      <c r="B1015" s="4" t="s">
        <v>244</v>
      </c>
      <c r="C1015" s="5">
        <v>42</v>
      </c>
      <c r="D1015" s="5">
        <v>42</v>
      </c>
      <c r="F1015" s="4" t="s">
        <v>9</v>
      </c>
      <c r="G1015" s="4" t="s">
        <v>830</v>
      </c>
      <c r="H1015" s="6" t="s">
        <v>11</v>
      </c>
    </row>
    <row r="1016" spans="1:8" x14ac:dyDescent="0.25">
      <c r="A1016" s="4" t="s">
        <v>831</v>
      </c>
      <c r="B1016" s="4" t="s">
        <v>244</v>
      </c>
      <c r="C1016" s="5">
        <v>37</v>
      </c>
      <c r="D1016" s="5">
        <v>31.75</v>
      </c>
      <c r="F1016" s="4" t="s">
        <v>9</v>
      </c>
      <c r="G1016" s="4" t="s">
        <v>832</v>
      </c>
      <c r="H1016" s="6" t="s">
        <v>11</v>
      </c>
    </row>
    <row r="1017" spans="1:8" x14ac:dyDescent="0.25">
      <c r="A1017" s="4" t="s">
        <v>833</v>
      </c>
      <c r="B1017" s="4" t="s">
        <v>244</v>
      </c>
      <c r="C1017" s="5">
        <v>7.5</v>
      </c>
      <c r="D1017" s="5">
        <v>6.58</v>
      </c>
      <c r="F1017" s="4" t="s">
        <v>9</v>
      </c>
      <c r="G1017" s="4" t="s">
        <v>834</v>
      </c>
      <c r="H1017" s="6" t="s">
        <v>11</v>
      </c>
    </row>
    <row r="1018" spans="1:8" x14ac:dyDescent="0.25">
      <c r="A1018" s="4" t="s">
        <v>835</v>
      </c>
      <c r="B1018" s="4" t="s">
        <v>244</v>
      </c>
      <c r="C1018" s="5">
        <v>7.5</v>
      </c>
      <c r="D1018" s="5">
        <v>5.5</v>
      </c>
      <c r="F1018" s="4" t="s">
        <v>9</v>
      </c>
      <c r="G1018" s="4" t="s">
        <v>836</v>
      </c>
      <c r="H1018" s="6" t="s">
        <v>11</v>
      </c>
    </row>
    <row r="1019" spans="1:8" x14ac:dyDescent="0.25">
      <c r="A1019" s="4" t="s">
        <v>837</v>
      </c>
      <c r="B1019" s="4" t="s">
        <v>244</v>
      </c>
      <c r="C1019" s="5">
        <v>7.5</v>
      </c>
      <c r="D1019" s="5">
        <v>5.5</v>
      </c>
      <c r="F1019" s="4" t="s">
        <v>9</v>
      </c>
      <c r="G1019" s="4" t="s">
        <v>838</v>
      </c>
      <c r="H1019" s="6" t="s">
        <v>11</v>
      </c>
    </row>
    <row r="1020" spans="1:8" x14ac:dyDescent="0.25">
      <c r="A1020" s="4" t="s">
        <v>839</v>
      </c>
      <c r="B1020" s="4" t="s">
        <v>244</v>
      </c>
      <c r="C1020" s="5">
        <v>7.5</v>
      </c>
      <c r="F1020" s="4" t="s">
        <v>9</v>
      </c>
      <c r="G1020" s="4" t="s">
        <v>840</v>
      </c>
      <c r="H1020" s="6" t="s">
        <v>11</v>
      </c>
    </row>
    <row r="1021" spans="1:8" x14ac:dyDescent="0.25">
      <c r="A1021" s="4" t="s">
        <v>841</v>
      </c>
      <c r="B1021" s="4" t="s">
        <v>244</v>
      </c>
      <c r="C1021" s="5">
        <v>7.5</v>
      </c>
      <c r="F1021" s="4" t="s">
        <v>9</v>
      </c>
      <c r="G1021" s="4" t="s">
        <v>842</v>
      </c>
      <c r="H1021" s="6" t="s">
        <v>11</v>
      </c>
    </row>
    <row r="1022" spans="1:8" x14ac:dyDescent="0.25">
      <c r="A1022" s="4" t="s">
        <v>843</v>
      </c>
      <c r="B1022" s="4" t="s">
        <v>244</v>
      </c>
      <c r="C1022" s="5">
        <v>7.5</v>
      </c>
      <c r="D1022" s="5">
        <v>5.5</v>
      </c>
      <c r="F1022" s="4" t="s">
        <v>9</v>
      </c>
      <c r="G1022" s="4" t="s">
        <v>844</v>
      </c>
      <c r="H1022" s="6" t="s">
        <v>11</v>
      </c>
    </row>
    <row r="1023" spans="1:8" x14ac:dyDescent="0.25">
      <c r="A1023" s="4" t="s">
        <v>845</v>
      </c>
      <c r="B1023" s="4" t="s">
        <v>244</v>
      </c>
      <c r="C1023" s="5">
        <v>7.5</v>
      </c>
      <c r="D1023" s="5">
        <v>5.5</v>
      </c>
      <c r="F1023" s="4" t="s">
        <v>9</v>
      </c>
      <c r="G1023" s="4" t="s">
        <v>846</v>
      </c>
      <c r="H1023" s="6" t="s">
        <v>11</v>
      </c>
    </row>
    <row r="1024" spans="1:8" x14ac:dyDescent="0.25">
      <c r="A1024" s="4" t="s">
        <v>847</v>
      </c>
      <c r="B1024" s="4" t="s">
        <v>244</v>
      </c>
      <c r="C1024" s="5">
        <v>7.5</v>
      </c>
      <c r="D1024" s="5">
        <v>5.5</v>
      </c>
      <c r="F1024" s="4" t="s">
        <v>9</v>
      </c>
      <c r="G1024" s="4" t="s">
        <v>848</v>
      </c>
      <c r="H1024" s="6" t="s">
        <v>11</v>
      </c>
    </row>
    <row r="1025" spans="1:8" x14ac:dyDescent="0.25">
      <c r="A1025" s="4" t="s">
        <v>849</v>
      </c>
      <c r="B1025" s="4" t="s">
        <v>244</v>
      </c>
      <c r="C1025" s="5">
        <v>7.5</v>
      </c>
      <c r="D1025" s="5">
        <v>5.5</v>
      </c>
      <c r="F1025" s="4" t="s">
        <v>9</v>
      </c>
      <c r="G1025" s="4" t="s">
        <v>850</v>
      </c>
      <c r="H1025" s="6" t="s">
        <v>11</v>
      </c>
    </row>
    <row r="1026" spans="1:8" x14ac:dyDescent="0.25">
      <c r="A1026" s="4" t="s">
        <v>851</v>
      </c>
      <c r="B1026" s="4" t="s">
        <v>244</v>
      </c>
      <c r="C1026" s="5">
        <v>7.5</v>
      </c>
      <c r="D1026" s="5">
        <v>5.5</v>
      </c>
      <c r="F1026" s="4" t="s">
        <v>9</v>
      </c>
      <c r="G1026" s="4" t="s">
        <v>852</v>
      </c>
      <c r="H1026" s="6" t="s">
        <v>11</v>
      </c>
    </row>
    <row r="1027" spans="1:8" x14ac:dyDescent="0.25">
      <c r="A1027" s="4" t="s">
        <v>853</v>
      </c>
      <c r="B1027" s="4" t="s">
        <v>244</v>
      </c>
      <c r="C1027" s="5">
        <v>7.5</v>
      </c>
      <c r="D1027" s="5">
        <v>5.5</v>
      </c>
      <c r="F1027" s="4" t="s">
        <v>9</v>
      </c>
      <c r="G1027" s="4" t="s">
        <v>854</v>
      </c>
      <c r="H1027" s="6" t="s">
        <v>11</v>
      </c>
    </row>
    <row r="1028" spans="1:8" x14ac:dyDescent="0.25">
      <c r="A1028" s="4" t="s">
        <v>855</v>
      </c>
      <c r="B1028" s="4" t="s">
        <v>244</v>
      </c>
      <c r="C1028" s="5">
        <v>7.5</v>
      </c>
      <c r="D1028" s="5">
        <v>6.29</v>
      </c>
      <c r="F1028" s="4" t="s">
        <v>9</v>
      </c>
      <c r="G1028" s="4" t="s">
        <v>856</v>
      </c>
      <c r="H1028" s="6" t="s">
        <v>11</v>
      </c>
    </row>
    <row r="1029" spans="1:8" x14ac:dyDescent="0.25">
      <c r="A1029" s="4" t="s">
        <v>867</v>
      </c>
      <c r="B1029" s="4" t="s">
        <v>244</v>
      </c>
      <c r="C1029" s="5">
        <v>44.95</v>
      </c>
      <c r="D1029" s="5">
        <v>40</v>
      </c>
      <c r="F1029" s="4" t="s">
        <v>9</v>
      </c>
      <c r="G1029" s="4" t="s">
        <v>868</v>
      </c>
      <c r="H1029" s="6" t="s">
        <v>11</v>
      </c>
    </row>
    <row r="1030" spans="1:8" x14ac:dyDescent="0.25">
      <c r="A1030" s="4" t="s">
        <v>1056</v>
      </c>
      <c r="B1030" s="4" t="s">
        <v>244</v>
      </c>
      <c r="F1030" s="4" t="s">
        <v>9</v>
      </c>
      <c r="G1030" s="4" t="s">
        <v>1057</v>
      </c>
      <c r="H1030" s="6" t="s">
        <v>11</v>
      </c>
    </row>
    <row r="1031" spans="1:8" x14ac:dyDescent="0.25">
      <c r="A1031" s="4" t="s">
        <v>1128</v>
      </c>
      <c r="B1031" s="4" t="s">
        <v>244</v>
      </c>
      <c r="C1031" s="5">
        <v>28.9</v>
      </c>
      <c r="D1031" s="5">
        <v>20</v>
      </c>
      <c r="F1031" s="4" t="s">
        <v>9</v>
      </c>
      <c r="G1031" s="4" t="s">
        <v>1129</v>
      </c>
      <c r="H1031" s="6" t="s">
        <v>11</v>
      </c>
    </row>
    <row r="1032" spans="1:8" x14ac:dyDescent="0.25">
      <c r="A1032" s="4" t="s">
        <v>2277</v>
      </c>
      <c r="B1032" s="4" t="s">
        <v>244</v>
      </c>
      <c r="C1032" s="5">
        <v>120</v>
      </c>
      <c r="D1032" s="5">
        <v>127.88</v>
      </c>
      <c r="F1032" s="4" t="s">
        <v>9</v>
      </c>
      <c r="G1032" s="4" t="s">
        <v>2278</v>
      </c>
      <c r="H1032" s="6" t="s">
        <v>11</v>
      </c>
    </row>
    <row r="1033" spans="1:8" x14ac:dyDescent="0.25">
      <c r="A1033" s="4" t="s">
        <v>2286</v>
      </c>
      <c r="B1033" s="4" t="s">
        <v>244</v>
      </c>
      <c r="C1033" s="5">
        <v>24.9</v>
      </c>
      <c r="D1033" s="5">
        <v>18.5</v>
      </c>
      <c r="F1033" s="4" t="s">
        <v>9</v>
      </c>
      <c r="G1033" s="4" t="s">
        <v>2287</v>
      </c>
      <c r="H1033" s="6" t="s">
        <v>11</v>
      </c>
    </row>
    <row r="1034" spans="1:8" x14ac:dyDescent="0.25">
      <c r="A1034" s="4" t="s">
        <v>2331</v>
      </c>
      <c r="B1034" s="4" t="s">
        <v>244</v>
      </c>
      <c r="D1034" s="5">
        <v>8.2899999999999991</v>
      </c>
      <c r="F1034" s="4" t="s">
        <v>9</v>
      </c>
      <c r="G1034" s="4" t="s">
        <v>2332</v>
      </c>
      <c r="H1034" s="6" t="s">
        <v>11</v>
      </c>
    </row>
    <row r="1035" spans="1:8" x14ac:dyDescent="0.25">
      <c r="A1035" s="4" t="s">
        <v>2342</v>
      </c>
      <c r="B1035" s="4" t="s">
        <v>244</v>
      </c>
      <c r="C1035" s="5">
        <v>40</v>
      </c>
      <c r="D1035" s="5">
        <v>15</v>
      </c>
      <c r="F1035" s="4" t="s">
        <v>9</v>
      </c>
      <c r="G1035" s="4" t="s">
        <v>2343</v>
      </c>
      <c r="H1035" s="6" t="s">
        <v>11</v>
      </c>
    </row>
    <row r="1036" spans="1:8" x14ac:dyDescent="0.25">
      <c r="A1036" s="4" t="str">
        <f>"COPO AMERICANO DOG OLHO RASGADO 450ML "</f>
        <v xml:space="preserve">COPO AMERICANO DOG OLHO RASGADO 450ML </v>
      </c>
      <c r="B1036" s="4" t="s">
        <v>244</v>
      </c>
      <c r="C1036" s="5">
        <v>40</v>
      </c>
      <c r="D1036" s="5">
        <v>5.57</v>
      </c>
      <c r="E1036" s="5">
        <v>23</v>
      </c>
      <c r="F1036" s="4" t="s">
        <v>9</v>
      </c>
      <c r="G1036" s="4" t="s">
        <v>2344</v>
      </c>
      <c r="H1036" s="6" t="s">
        <v>11</v>
      </c>
    </row>
    <row r="1037" spans="1:8" x14ac:dyDescent="0.25">
      <c r="A1037" s="4" t="s">
        <v>2345</v>
      </c>
      <c r="B1037" s="4" t="s">
        <v>244</v>
      </c>
      <c r="C1037" s="5">
        <v>40</v>
      </c>
      <c r="D1037" s="5">
        <v>5.34</v>
      </c>
      <c r="F1037" s="4" t="s">
        <v>9</v>
      </c>
      <c r="G1037" s="4" t="s">
        <v>2346</v>
      </c>
      <c r="H1037" s="6" t="s">
        <v>11</v>
      </c>
    </row>
    <row r="1038" spans="1:8" x14ac:dyDescent="0.25">
      <c r="A1038" s="4" t="s">
        <v>2347</v>
      </c>
      <c r="B1038" s="4" t="s">
        <v>244</v>
      </c>
      <c r="C1038" s="5">
        <v>40</v>
      </c>
      <c r="D1038" s="5">
        <v>5.34</v>
      </c>
      <c r="F1038" s="4" t="s">
        <v>9</v>
      </c>
      <c r="G1038" s="4" t="s">
        <v>2348</v>
      </c>
      <c r="H1038" s="6" t="s">
        <v>11</v>
      </c>
    </row>
    <row r="1039" spans="1:8" x14ac:dyDescent="0.25">
      <c r="A1039" s="4" t="s">
        <v>2351</v>
      </c>
      <c r="B1039" s="4" t="s">
        <v>244</v>
      </c>
      <c r="C1039" s="5">
        <v>25</v>
      </c>
      <c r="D1039" s="5">
        <v>7.44</v>
      </c>
      <c r="E1039" s="5">
        <v>12</v>
      </c>
      <c r="F1039" s="4" t="s">
        <v>9</v>
      </c>
      <c r="G1039" s="4" t="s">
        <v>2352</v>
      </c>
      <c r="H1039" s="6" t="s">
        <v>11</v>
      </c>
    </row>
    <row r="1040" spans="1:8" x14ac:dyDescent="0.25">
      <c r="A1040" s="4" t="s">
        <v>2353</v>
      </c>
      <c r="B1040" s="4" t="s">
        <v>244</v>
      </c>
      <c r="C1040" s="5">
        <v>25</v>
      </c>
      <c r="D1040" s="5">
        <v>7.76</v>
      </c>
      <c r="E1040" s="5">
        <v>11</v>
      </c>
      <c r="F1040" s="4" t="s">
        <v>9</v>
      </c>
      <c r="G1040" s="4" t="s">
        <v>2354</v>
      </c>
      <c r="H1040" s="6" t="s">
        <v>11</v>
      </c>
    </row>
    <row r="1041" spans="1:8" x14ac:dyDescent="0.25">
      <c r="A1041" s="4" t="s">
        <v>2355</v>
      </c>
      <c r="B1041" s="4" t="s">
        <v>244</v>
      </c>
      <c r="C1041" s="5">
        <v>25</v>
      </c>
      <c r="D1041" s="5">
        <v>1.95</v>
      </c>
      <c r="E1041" s="5">
        <v>96</v>
      </c>
      <c r="F1041" s="4" t="s">
        <v>9</v>
      </c>
      <c r="G1041" s="4" t="s">
        <v>2356</v>
      </c>
      <c r="H1041" s="6" t="s">
        <v>11</v>
      </c>
    </row>
    <row r="1042" spans="1:8" x14ac:dyDescent="0.25">
      <c r="A1042" s="4" t="s">
        <v>2357</v>
      </c>
      <c r="B1042" s="4" t="s">
        <v>244</v>
      </c>
      <c r="C1042" s="5">
        <v>25</v>
      </c>
      <c r="D1042" s="5">
        <v>8.83</v>
      </c>
      <c r="E1042" s="5">
        <v>36</v>
      </c>
      <c r="F1042" s="4" t="s">
        <v>9</v>
      </c>
      <c r="G1042" s="4" t="s">
        <v>2358</v>
      </c>
      <c r="H1042" s="6" t="s">
        <v>11</v>
      </c>
    </row>
    <row r="1043" spans="1:8" x14ac:dyDescent="0.25">
      <c r="A1043" s="4" t="str">
        <f>"COPO CANABICAO "</f>
        <v xml:space="preserve">COPO CANABICAO </v>
      </c>
      <c r="B1043" s="4" t="s">
        <v>244</v>
      </c>
      <c r="C1043" s="5">
        <v>40</v>
      </c>
      <c r="D1043" s="5">
        <v>11.52</v>
      </c>
      <c r="F1043" s="4" t="s">
        <v>9</v>
      </c>
      <c r="G1043" s="4" t="s">
        <v>2361</v>
      </c>
      <c r="H1043" s="6" t="s">
        <v>11</v>
      </c>
    </row>
    <row r="1044" spans="1:8" x14ac:dyDescent="0.25">
      <c r="A1044" s="4" t="s">
        <v>2368</v>
      </c>
      <c r="B1044" s="4" t="s">
        <v>244</v>
      </c>
      <c r="C1044" s="5">
        <v>45</v>
      </c>
      <c r="D1044" s="5">
        <v>9.15</v>
      </c>
      <c r="E1044" s="5">
        <v>1</v>
      </c>
      <c r="F1044" s="4" t="s">
        <v>9</v>
      </c>
      <c r="G1044" s="4" t="s">
        <v>2369</v>
      </c>
      <c r="H1044" s="6" t="s">
        <v>11</v>
      </c>
    </row>
    <row r="1045" spans="1:8" x14ac:dyDescent="0.25">
      <c r="A1045" s="4" t="s">
        <v>2370</v>
      </c>
      <c r="B1045" s="4" t="s">
        <v>244</v>
      </c>
      <c r="C1045" s="5">
        <v>20</v>
      </c>
      <c r="D1045" s="5">
        <v>10</v>
      </c>
      <c r="F1045" s="4" t="s">
        <v>9</v>
      </c>
      <c r="G1045" s="4" t="s">
        <v>2371</v>
      </c>
      <c r="H1045" s="6" t="s">
        <v>11</v>
      </c>
    </row>
    <row r="1046" spans="1:8" x14ac:dyDescent="0.25">
      <c r="A1046" s="4" t="s">
        <v>2375</v>
      </c>
      <c r="B1046" s="4" t="s">
        <v>244</v>
      </c>
      <c r="C1046" s="5">
        <v>15</v>
      </c>
      <c r="F1046" s="4" t="s">
        <v>9</v>
      </c>
      <c r="G1046" s="4" t="s">
        <v>2376</v>
      </c>
      <c r="H1046" s="6" t="s">
        <v>11</v>
      </c>
    </row>
    <row r="1047" spans="1:8" x14ac:dyDescent="0.25">
      <c r="A1047" s="4" t="s">
        <v>2379</v>
      </c>
      <c r="B1047" s="4" t="s">
        <v>244</v>
      </c>
      <c r="C1047" s="5">
        <v>30</v>
      </c>
      <c r="F1047" s="4" t="s">
        <v>9</v>
      </c>
      <c r="G1047" s="4" t="s">
        <v>2380</v>
      </c>
      <c r="H1047" s="6" t="s">
        <v>11</v>
      </c>
    </row>
    <row r="1048" spans="1:8" x14ac:dyDescent="0.25">
      <c r="A1048" s="4" t="s">
        <v>2381</v>
      </c>
      <c r="B1048" s="4" t="s">
        <v>244</v>
      </c>
      <c r="C1048" s="5">
        <v>30</v>
      </c>
      <c r="D1048" s="5">
        <v>15</v>
      </c>
      <c r="F1048" s="4" t="s">
        <v>9</v>
      </c>
      <c r="G1048" s="4" t="s">
        <v>2382</v>
      </c>
      <c r="H1048" s="6" t="s">
        <v>11</v>
      </c>
    </row>
    <row r="1049" spans="1:8" x14ac:dyDescent="0.25">
      <c r="A1049" s="4" t="s">
        <v>2391</v>
      </c>
      <c r="B1049" s="4" t="s">
        <v>244</v>
      </c>
      <c r="C1049" s="5">
        <v>40</v>
      </c>
      <c r="D1049" s="5">
        <v>13.78</v>
      </c>
      <c r="E1049" s="5">
        <v>48</v>
      </c>
      <c r="F1049" s="4" t="s">
        <v>9</v>
      </c>
      <c r="G1049" s="4" t="s">
        <v>2392</v>
      </c>
      <c r="H1049" s="6" t="s">
        <v>11</v>
      </c>
    </row>
    <row r="1050" spans="1:8" x14ac:dyDescent="0.25">
      <c r="A1050" s="4" t="s">
        <v>2393</v>
      </c>
      <c r="B1050" s="4" t="s">
        <v>244</v>
      </c>
      <c r="C1050" s="5">
        <v>40</v>
      </c>
      <c r="D1050" s="5">
        <v>8.89</v>
      </c>
      <c r="F1050" s="4" t="s">
        <v>9</v>
      </c>
      <c r="G1050" s="4" t="s">
        <v>2394</v>
      </c>
      <c r="H1050" s="6" t="s">
        <v>11</v>
      </c>
    </row>
    <row r="1051" spans="1:8" x14ac:dyDescent="0.25">
      <c r="A1051" s="4" t="s">
        <v>2403</v>
      </c>
      <c r="B1051" s="4" t="s">
        <v>244</v>
      </c>
      <c r="C1051" s="5">
        <v>45</v>
      </c>
      <c r="D1051" s="5">
        <v>40.68</v>
      </c>
      <c r="F1051" s="4" t="s">
        <v>9</v>
      </c>
      <c r="G1051" s="4" t="s">
        <v>2404</v>
      </c>
      <c r="H1051" s="6" t="s">
        <v>11</v>
      </c>
    </row>
    <row r="1052" spans="1:8" x14ac:dyDescent="0.25">
      <c r="A1052" s="4" t="str">
        <f>"CRIATURA DO PANTANO -  LATA 473ML "</f>
        <v xml:space="preserve">CRIATURA DO PANTANO -  LATA 473ML </v>
      </c>
      <c r="B1052" s="4" t="s">
        <v>244</v>
      </c>
      <c r="C1052" s="5">
        <v>28.9</v>
      </c>
      <c r="D1052" s="5">
        <v>14.92</v>
      </c>
      <c r="E1052" s="5">
        <v>16</v>
      </c>
      <c r="F1052" s="4" t="s">
        <v>9</v>
      </c>
      <c r="G1052" s="4" t="s">
        <v>2421</v>
      </c>
      <c r="H1052" s="6" t="s">
        <v>11</v>
      </c>
    </row>
    <row r="1053" spans="1:8" x14ac:dyDescent="0.25">
      <c r="A1053" s="4" t="s">
        <v>3030</v>
      </c>
      <c r="B1053" s="4" t="s">
        <v>244</v>
      </c>
      <c r="C1053" s="5">
        <v>4</v>
      </c>
      <c r="D1053" s="5">
        <v>2.12</v>
      </c>
      <c r="F1053" s="4" t="s">
        <v>9</v>
      </c>
      <c r="G1053" s="4" t="s">
        <v>3031</v>
      </c>
      <c r="H1053" s="6" t="s">
        <v>11</v>
      </c>
    </row>
    <row r="1054" spans="1:8" x14ac:dyDescent="0.25">
      <c r="A1054" s="4" t="s">
        <v>3217</v>
      </c>
      <c r="B1054" s="4" t="s">
        <v>244</v>
      </c>
      <c r="C1054" s="5">
        <v>24.9</v>
      </c>
      <c r="F1054" s="4" t="s">
        <v>9</v>
      </c>
      <c r="G1054" s="4" t="s">
        <v>3218</v>
      </c>
      <c r="H1054" s="6" t="s">
        <v>11</v>
      </c>
    </row>
    <row r="1055" spans="1:8" x14ac:dyDescent="0.25">
      <c r="A1055" s="4" t="s">
        <v>3239</v>
      </c>
      <c r="B1055" s="4" t="s">
        <v>244</v>
      </c>
      <c r="C1055" s="5">
        <v>200</v>
      </c>
      <c r="F1055" s="4" t="s">
        <v>9</v>
      </c>
      <c r="G1055" s="4" t="s">
        <v>3240</v>
      </c>
      <c r="H1055" s="6" t="s">
        <v>11</v>
      </c>
    </row>
    <row r="1056" spans="1:8" x14ac:dyDescent="0.25">
      <c r="A1056" s="4" t="s">
        <v>3241</v>
      </c>
      <c r="B1056" s="4" t="s">
        <v>244</v>
      </c>
      <c r="C1056" s="5">
        <v>200</v>
      </c>
      <c r="F1056" s="4" t="s">
        <v>9</v>
      </c>
      <c r="G1056" s="4" t="s">
        <v>3242</v>
      </c>
      <c r="H1056" s="6" t="s">
        <v>11</v>
      </c>
    </row>
    <row r="1057" spans="1:8" x14ac:dyDescent="0.25">
      <c r="A1057" s="4" t="s">
        <v>3243</v>
      </c>
      <c r="B1057" s="4" t="s">
        <v>244</v>
      </c>
      <c r="C1057" s="5">
        <v>200</v>
      </c>
      <c r="F1057" s="4" t="s">
        <v>9</v>
      </c>
      <c r="G1057" s="4" t="s">
        <v>3244</v>
      </c>
      <c r="H1057" s="6" t="s">
        <v>11</v>
      </c>
    </row>
    <row r="1058" spans="1:8" x14ac:dyDescent="0.25">
      <c r="A1058" s="4" t="s">
        <v>3245</v>
      </c>
      <c r="B1058" s="4" t="s">
        <v>244</v>
      </c>
      <c r="C1058" s="5">
        <v>15.9</v>
      </c>
      <c r="F1058" s="4" t="s">
        <v>9</v>
      </c>
      <c r="G1058" s="4" t="s">
        <v>3246</v>
      </c>
      <c r="H1058" s="6" t="s">
        <v>11</v>
      </c>
    </row>
    <row r="1059" spans="1:8" x14ac:dyDescent="0.25">
      <c r="A1059" s="4" t="s">
        <v>3247</v>
      </c>
      <c r="B1059" s="4" t="s">
        <v>244</v>
      </c>
      <c r="C1059" s="5">
        <v>30</v>
      </c>
      <c r="F1059" s="4" t="s">
        <v>9</v>
      </c>
      <c r="G1059" s="4" t="s">
        <v>3248</v>
      </c>
      <c r="H1059" s="6" t="s">
        <v>11</v>
      </c>
    </row>
    <row r="1060" spans="1:8" x14ac:dyDescent="0.25">
      <c r="A1060" s="4" t="s">
        <v>3249</v>
      </c>
      <c r="B1060" s="4" t="s">
        <v>244</v>
      </c>
      <c r="C1060" s="5">
        <v>119.9</v>
      </c>
      <c r="F1060" s="4" t="s">
        <v>9</v>
      </c>
      <c r="G1060" s="4" t="s">
        <v>3250</v>
      </c>
      <c r="H1060" s="6" t="s">
        <v>11</v>
      </c>
    </row>
    <row r="1061" spans="1:8" x14ac:dyDescent="0.25">
      <c r="A1061" s="4" t="s">
        <v>3266</v>
      </c>
      <c r="B1061" s="4" t="s">
        <v>244</v>
      </c>
      <c r="C1061" s="5">
        <v>49.9</v>
      </c>
      <c r="F1061" s="4" t="s">
        <v>9</v>
      </c>
      <c r="G1061" s="4" t="s">
        <v>3267</v>
      </c>
      <c r="H1061" s="6" t="s">
        <v>11</v>
      </c>
    </row>
    <row r="1062" spans="1:8" x14ac:dyDescent="0.25">
      <c r="A1062" s="4" t="s">
        <v>3274</v>
      </c>
      <c r="B1062" s="4" t="s">
        <v>244</v>
      </c>
      <c r="C1062" s="5">
        <v>29</v>
      </c>
      <c r="D1062" s="5">
        <v>18.5</v>
      </c>
      <c r="F1062" s="4" t="s">
        <v>9</v>
      </c>
      <c r="G1062" s="4" t="s">
        <v>3275</v>
      </c>
      <c r="H1062" s="6" t="s">
        <v>11</v>
      </c>
    </row>
    <row r="1063" spans="1:8" x14ac:dyDescent="0.25">
      <c r="A1063" s="4" t="s">
        <v>3276</v>
      </c>
      <c r="B1063" s="4" t="s">
        <v>244</v>
      </c>
      <c r="C1063" s="5">
        <v>24.9</v>
      </c>
      <c r="F1063" s="4" t="s">
        <v>9</v>
      </c>
      <c r="G1063" s="4" t="s">
        <v>3277</v>
      </c>
      <c r="H1063" s="6" t="s">
        <v>11</v>
      </c>
    </row>
    <row r="1064" spans="1:8" x14ac:dyDescent="0.25">
      <c r="A1064" s="4" t="s">
        <v>3360</v>
      </c>
      <c r="B1064" s="4" t="s">
        <v>244</v>
      </c>
      <c r="C1064" s="5">
        <v>27</v>
      </c>
      <c r="F1064" s="4" t="s">
        <v>9</v>
      </c>
      <c r="G1064" s="4" t="s">
        <v>3361</v>
      </c>
      <c r="H1064" s="6" t="s">
        <v>11</v>
      </c>
    </row>
    <row r="1065" spans="1:8" x14ac:dyDescent="0.25">
      <c r="A1065" s="4" t="str">
        <f>"MARK THE PASCOA LATA - 473ML "</f>
        <v xml:space="preserve">MARK THE PASCOA LATA - 473ML </v>
      </c>
      <c r="B1065" s="4" t="s">
        <v>244</v>
      </c>
      <c r="C1065" s="5">
        <v>28.9</v>
      </c>
      <c r="D1065" s="5">
        <v>15.86</v>
      </c>
      <c r="F1065" s="4" t="s">
        <v>9</v>
      </c>
      <c r="G1065" s="4" t="s">
        <v>3452</v>
      </c>
      <c r="H1065" s="6" t="s">
        <v>11</v>
      </c>
    </row>
    <row r="1066" spans="1:8" x14ac:dyDescent="0.25">
      <c r="A1066" s="4" t="s">
        <v>3453</v>
      </c>
      <c r="B1066" s="4" t="s">
        <v>244</v>
      </c>
      <c r="C1066" s="5">
        <v>24.9</v>
      </c>
      <c r="D1066" s="5">
        <v>13.84</v>
      </c>
      <c r="E1066" s="5">
        <v>16</v>
      </c>
      <c r="F1066" s="4" t="s">
        <v>9</v>
      </c>
      <c r="G1066" s="4" t="s">
        <v>3454</v>
      </c>
      <c r="H1066" s="6" t="s">
        <v>11</v>
      </c>
    </row>
    <row r="1067" spans="1:8" x14ac:dyDescent="0.25">
      <c r="A1067" s="4" t="s">
        <v>3478</v>
      </c>
      <c r="B1067" s="4" t="s">
        <v>244</v>
      </c>
      <c r="C1067" s="5">
        <v>27</v>
      </c>
      <c r="F1067" s="4" t="s">
        <v>9</v>
      </c>
      <c r="G1067" s="4" t="s">
        <v>3479</v>
      </c>
      <c r="H1067" s="6" t="s">
        <v>11</v>
      </c>
    </row>
    <row r="1068" spans="1:8" x14ac:dyDescent="0.25">
      <c r="A1068" s="4" t="str">
        <f>"MAÇARICO BULLDOG "</f>
        <v xml:space="preserve">MAÇARICO BULLDOG </v>
      </c>
      <c r="B1068" s="4" t="s">
        <v>244</v>
      </c>
      <c r="C1068" s="5">
        <v>70</v>
      </c>
      <c r="D1068" s="5">
        <v>68.27</v>
      </c>
      <c r="F1068" s="4" t="s">
        <v>9</v>
      </c>
      <c r="G1068" s="4" t="s">
        <v>3480</v>
      </c>
      <c r="H1068" s="6" t="s">
        <v>11</v>
      </c>
    </row>
    <row r="1069" spans="1:8" x14ac:dyDescent="0.25">
      <c r="A1069" s="4" t="str">
        <f>"MOLETOM - CANGURU AMARELO COMPANY 2XG "</f>
        <v xml:space="preserve">MOLETOM - CANGURU AMARELO COMPANY 2XG </v>
      </c>
      <c r="B1069" s="4" t="s">
        <v>244</v>
      </c>
      <c r="C1069" s="5">
        <v>240</v>
      </c>
      <c r="D1069" s="5">
        <v>139</v>
      </c>
      <c r="F1069" s="4" t="s">
        <v>9</v>
      </c>
      <c r="G1069" s="4" t="s">
        <v>3516</v>
      </c>
      <c r="H1069" s="6" t="s">
        <v>11</v>
      </c>
    </row>
    <row r="1070" spans="1:8" x14ac:dyDescent="0.25">
      <c r="A1070" s="4" t="s">
        <v>3517</v>
      </c>
      <c r="B1070" s="4" t="s">
        <v>244</v>
      </c>
      <c r="C1070" s="5">
        <v>240</v>
      </c>
      <c r="D1070" s="5">
        <v>139</v>
      </c>
      <c r="F1070" s="4" t="s">
        <v>9</v>
      </c>
      <c r="G1070" s="4" t="s">
        <v>3518</v>
      </c>
      <c r="H1070" s="6" t="s">
        <v>11</v>
      </c>
    </row>
    <row r="1071" spans="1:8" x14ac:dyDescent="0.25">
      <c r="A1071" s="4" t="s">
        <v>3519</v>
      </c>
      <c r="B1071" s="4" t="s">
        <v>244</v>
      </c>
      <c r="C1071" s="5">
        <v>240</v>
      </c>
      <c r="D1071" s="5">
        <v>140</v>
      </c>
      <c r="F1071" s="4" t="s">
        <v>9</v>
      </c>
      <c r="G1071" s="4" t="s">
        <v>3520</v>
      </c>
      <c r="H1071" s="6" t="s">
        <v>11</v>
      </c>
    </row>
    <row r="1072" spans="1:8" x14ac:dyDescent="0.25">
      <c r="A1072" s="4" t="s">
        <v>3521</v>
      </c>
      <c r="B1072" s="4" t="s">
        <v>244</v>
      </c>
      <c r="C1072" s="5">
        <v>240</v>
      </c>
      <c r="D1072" s="5">
        <v>140</v>
      </c>
      <c r="F1072" s="4" t="s">
        <v>9</v>
      </c>
      <c r="G1072" s="4" t="s">
        <v>3522</v>
      </c>
      <c r="H1072" s="6" t="s">
        <v>11</v>
      </c>
    </row>
    <row r="1073" spans="1:8" x14ac:dyDescent="0.25">
      <c r="A1073" s="4" t="s">
        <v>3523</v>
      </c>
      <c r="B1073" s="4" t="s">
        <v>244</v>
      </c>
      <c r="C1073" s="5">
        <v>240</v>
      </c>
      <c r="D1073" s="5">
        <v>140</v>
      </c>
      <c r="F1073" s="4" t="s">
        <v>9</v>
      </c>
      <c r="G1073" s="4" t="s">
        <v>3524</v>
      </c>
      <c r="H1073" s="6" t="s">
        <v>11</v>
      </c>
    </row>
    <row r="1074" spans="1:8" x14ac:dyDescent="0.25">
      <c r="A1074" s="4" t="s">
        <v>3525</v>
      </c>
      <c r="B1074" s="4" t="s">
        <v>244</v>
      </c>
      <c r="C1074" s="5">
        <v>240</v>
      </c>
      <c r="D1074" s="5">
        <v>139</v>
      </c>
      <c r="F1074" s="4" t="s">
        <v>9</v>
      </c>
      <c r="G1074" s="4" t="s">
        <v>3526</v>
      </c>
      <c r="H1074" s="6" t="s">
        <v>11</v>
      </c>
    </row>
    <row r="1075" spans="1:8" x14ac:dyDescent="0.25">
      <c r="A1075" s="4" t="s">
        <v>3527</v>
      </c>
      <c r="B1075" s="4" t="s">
        <v>244</v>
      </c>
      <c r="C1075" s="5">
        <v>240</v>
      </c>
      <c r="D1075" s="5">
        <v>140</v>
      </c>
      <c r="F1075" s="4" t="s">
        <v>9</v>
      </c>
      <c r="G1075" s="4" t="s">
        <v>3528</v>
      </c>
      <c r="H1075" s="6" t="s">
        <v>11</v>
      </c>
    </row>
    <row r="1076" spans="1:8" x14ac:dyDescent="0.25">
      <c r="A1076" s="4" t="s">
        <v>3529</v>
      </c>
      <c r="B1076" s="4" t="s">
        <v>244</v>
      </c>
      <c r="C1076" s="5">
        <v>240</v>
      </c>
      <c r="D1076" s="5">
        <v>140</v>
      </c>
      <c r="F1076" s="4" t="s">
        <v>9</v>
      </c>
      <c r="G1076" s="4" t="s">
        <v>3530</v>
      </c>
      <c r="H1076" s="6" t="s">
        <v>11</v>
      </c>
    </row>
    <row r="1077" spans="1:8" x14ac:dyDescent="0.25">
      <c r="A1077" s="4" t="s">
        <v>3531</v>
      </c>
      <c r="B1077" s="4" t="s">
        <v>244</v>
      </c>
      <c r="C1077" s="5">
        <v>240</v>
      </c>
      <c r="D1077" s="5">
        <v>140</v>
      </c>
      <c r="F1077" s="4" t="s">
        <v>9</v>
      </c>
      <c r="G1077" s="4" t="s">
        <v>3532</v>
      </c>
      <c r="H1077" s="6" t="s">
        <v>11</v>
      </c>
    </row>
    <row r="1078" spans="1:8" x14ac:dyDescent="0.25">
      <c r="A1078" s="4" t="s">
        <v>3533</v>
      </c>
      <c r="B1078" s="4" t="s">
        <v>244</v>
      </c>
      <c r="C1078" s="5">
        <v>240</v>
      </c>
      <c r="D1078" s="5">
        <v>140</v>
      </c>
      <c r="F1078" s="4" t="s">
        <v>9</v>
      </c>
      <c r="G1078" s="4" t="s">
        <v>3534</v>
      </c>
      <c r="H1078" s="6" t="s">
        <v>11</v>
      </c>
    </row>
    <row r="1079" spans="1:8" x14ac:dyDescent="0.25">
      <c r="A1079" s="4" t="s">
        <v>3535</v>
      </c>
      <c r="B1079" s="4" t="s">
        <v>244</v>
      </c>
      <c r="C1079" s="5">
        <v>240</v>
      </c>
      <c r="D1079" s="5">
        <v>140</v>
      </c>
      <c r="F1079" s="4" t="s">
        <v>9</v>
      </c>
      <c r="G1079" s="4" t="s">
        <v>3536</v>
      </c>
      <c r="H1079" s="6" t="s">
        <v>11</v>
      </c>
    </row>
    <row r="1080" spans="1:8" x14ac:dyDescent="0.25">
      <c r="A1080" s="4" t="s">
        <v>3537</v>
      </c>
      <c r="B1080" s="4" t="s">
        <v>244</v>
      </c>
      <c r="C1080" s="5">
        <v>240</v>
      </c>
      <c r="D1080" s="5">
        <v>140</v>
      </c>
      <c r="F1080" s="4" t="s">
        <v>9</v>
      </c>
      <c r="G1080" s="4" t="s">
        <v>3538</v>
      </c>
      <c r="H1080" s="6" t="s">
        <v>11</v>
      </c>
    </row>
    <row r="1081" spans="1:8" x14ac:dyDescent="0.25">
      <c r="A1081" s="4" t="s">
        <v>3539</v>
      </c>
      <c r="B1081" s="4" t="s">
        <v>244</v>
      </c>
      <c r="C1081" s="5">
        <v>240</v>
      </c>
      <c r="D1081" s="5">
        <v>140</v>
      </c>
      <c r="F1081" s="4" t="s">
        <v>9</v>
      </c>
      <c r="G1081" s="4" t="s">
        <v>3540</v>
      </c>
      <c r="H1081" s="6" t="s">
        <v>11</v>
      </c>
    </row>
    <row r="1082" spans="1:8" x14ac:dyDescent="0.25">
      <c r="A1082" s="4" t="s">
        <v>3541</v>
      </c>
      <c r="B1082" s="4" t="s">
        <v>244</v>
      </c>
      <c r="C1082" s="5">
        <v>240</v>
      </c>
      <c r="D1082" s="5">
        <v>140</v>
      </c>
      <c r="F1082" s="4" t="s">
        <v>9</v>
      </c>
      <c r="G1082" s="4" t="s">
        <v>3542</v>
      </c>
      <c r="H1082" s="6" t="s">
        <v>11</v>
      </c>
    </row>
    <row r="1083" spans="1:8" x14ac:dyDescent="0.25">
      <c r="A1083" s="4" t="s">
        <v>3543</v>
      </c>
      <c r="B1083" s="4" t="s">
        <v>244</v>
      </c>
      <c r="C1083" s="5">
        <v>240</v>
      </c>
      <c r="D1083" s="5">
        <v>140</v>
      </c>
      <c r="F1083" s="4" t="s">
        <v>9</v>
      </c>
      <c r="G1083" s="4" t="s">
        <v>3544</v>
      </c>
      <c r="H1083" s="6" t="s">
        <v>11</v>
      </c>
    </row>
    <row r="1084" spans="1:8" x14ac:dyDescent="0.25">
      <c r="A1084" s="4" t="s">
        <v>3545</v>
      </c>
      <c r="B1084" s="4" t="s">
        <v>244</v>
      </c>
      <c r="C1084" s="5">
        <v>240</v>
      </c>
      <c r="D1084" s="5">
        <v>140</v>
      </c>
      <c r="F1084" s="4" t="s">
        <v>9</v>
      </c>
      <c r="G1084" s="4" t="s">
        <v>3546</v>
      </c>
      <c r="H1084" s="6" t="s">
        <v>11</v>
      </c>
    </row>
    <row r="1085" spans="1:8" x14ac:dyDescent="0.25">
      <c r="A1085" s="4" t="s">
        <v>3547</v>
      </c>
      <c r="B1085" s="4" t="s">
        <v>244</v>
      </c>
      <c r="C1085" s="5">
        <v>240</v>
      </c>
      <c r="D1085" s="5">
        <v>140</v>
      </c>
      <c r="F1085" s="4" t="s">
        <v>9</v>
      </c>
      <c r="G1085" s="4" t="s">
        <v>3548</v>
      </c>
      <c r="H1085" s="6" t="s">
        <v>11</v>
      </c>
    </row>
    <row r="1086" spans="1:8" x14ac:dyDescent="0.25">
      <c r="A1086" s="4" t="s">
        <v>3549</v>
      </c>
      <c r="B1086" s="4" t="s">
        <v>244</v>
      </c>
      <c r="C1086" s="5">
        <v>240</v>
      </c>
      <c r="D1086" s="5">
        <v>140</v>
      </c>
      <c r="F1086" s="4" t="s">
        <v>9</v>
      </c>
      <c r="G1086" s="4" t="s">
        <v>3550</v>
      </c>
      <c r="H1086" s="6" t="s">
        <v>11</v>
      </c>
    </row>
    <row r="1087" spans="1:8" x14ac:dyDescent="0.25">
      <c r="A1087" s="4" t="str">
        <f>"MOLETOM - CARPE THAT FUCKING DIEM G "</f>
        <v xml:space="preserve">MOLETOM - CARPE THAT FUCKING DIEM G </v>
      </c>
      <c r="B1087" s="4" t="s">
        <v>244</v>
      </c>
      <c r="C1087" s="5">
        <v>240</v>
      </c>
      <c r="D1087" s="5">
        <v>137</v>
      </c>
      <c r="F1087" s="4" t="s">
        <v>9</v>
      </c>
      <c r="G1087" s="4" t="s">
        <v>3551</v>
      </c>
      <c r="H1087" s="6" t="s">
        <v>11</v>
      </c>
    </row>
    <row r="1088" spans="1:8" x14ac:dyDescent="0.25">
      <c r="A1088" s="4" t="str">
        <f>"MOLETOM - CARPE THAT FUCKING DIEM GG "</f>
        <v xml:space="preserve">MOLETOM - CARPE THAT FUCKING DIEM GG </v>
      </c>
      <c r="B1088" s="4" t="s">
        <v>244</v>
      </c>
      <c r="C1088" s="5">
        <v>240</v>
      </c>
      <c r="D1088" s="5">
        <v>136.33000000000001</v>
      </c>
      <c r="F1088" s="4" t="s">
        <v>9</v>
      </c>
      <c r="G1088" s="4" t="s">
        <v>3552</v>
      </c>
      <c r="H1088" s="6" t="s">
        <v>11</v>
      </c>
    </row>
    <row r="1089" spans="1:8" x14ac:dyDescent="0.25">
      <c r="A1089" s="4" t="s">
        <v>3553</v>
      </c>
      <c r="B1089" s="4" t="s">
        <v>244</v>
      </c>
      <c r="C1089" s="5">
        <v>240</v>
      </c>
      <c r="D1089" s="5">
        <v>137</v>
      </c>
      <c r="F1089" s="4" t="s">
        <v>9</v>
      </c>
      <c r="G1089" s="4" t="s">
        <v>3554</v>
      </c>
      <c r="H1089" s="6" t="s">
        <v>11</v>
      </c>
    </row>
    <row r="1090" spans="1:8" x14ac:dyDescent="0.25">
      <c r="A1090" s="4" t="s">
        <v>3555</v>
      </c>
      <c r="B1090" s="4" t="s">
        <v>244</v>
      </c>
      <c r="C1090" s="5">
        <v>240</v>
      </c>
      <c r="D1090" s="5">
        <v>137</v>
      </c>
      <c r="F1090" s="4" t="s">
        <v>9</v>
      </c>
      <c r="G1090" s="4" t="s">
        <v>3556</v>
      </c>
      <c r="H1090" s="6" t="s">
        <v>11</v>
      </c>
    </row>
    <row r="1091" spans="1:8" x14ac:dyDescent="0.25">
      <c r="A1091" s="4" t="str">
        <f>"MOLETOM - CARPE THAT FUCKING DIEM PP "</f>
        <v xml:space="preserve">MOLETOM - CARPE THAT FUCKING DIEM PP </v>
      </c>
      <c r="B1091" s="4" t="s">
        <v>244</v>
      </c>
      <c r="C1091" s="5">
        <v>240</v>
      </c>
      <c r="D1091" s="5">
        <v>139</v>
      </c>
      <c r="F1091" s="4" t="s">
        <v>9</v>
      </c>
      <c r="G1091" s="4" t="s">
        <v>3557</v>
      </c>
      <c r="H1091" s="6" t="s">
        <v>11</v>
      </c>
    </row>
    <row r="1092" spans="1:8" x14ac:dyDescent="0.25">
      <c r="A1092" s="4" t="str">
        <f>"MOLETOM - CARPE THAT FUCKING DIEM XG "</f>
        <v xml:space="preserve">MOLETOM - CARPE THAT FUCKING DIEM XG </v>
      </c>
      <c r="B1092" s="4" t="s">
        <v>244</v>
      </c>
      <c r="C1092" s="5">
        <v>240</v>
      </c>
      <c r="D1092" s="5">
        <v>135</v>
      </c>
      <c r="F1092" s="4" t="s">
        <v>9</v>
      </c>
      <c r="G1092" s="4" t="s">
        <v>3558</v>
      </c>
      <c r="H1092" s="6" t="s">
        <v>11</v>
      </c>
    </row>
    <row r="1093" spans="1:8" x14ac:dyDescent="0.25">
      <c r="A1093" s="4" t="s">
        <v>3559</v>
      </c>
      <c r="B1093" s="4" t="s">
        <v>244</v>
      </c>
      <c r="C1093" s="5">
        <v>240</v>
      </c>
      <c r="D1093" s="5">
        <v>139</v>
      </c>
      <c r="F1093" s="4" t="s">
        <v>9</v>
      </c>
      <c r="G1093" s="4" t="s">
        <v>3560</v>
      </c>
      <c r="H1093" s="6" t="s">
        <v>11</v>
      </c>
    </row>
    <row r="1094" spans="1:8" x14ac:dyDescent="0.25">
      <c r="A1094" s="4" t="s">
        <v>3561</v>
      </c>
      <c r="B1094" s="4" t="s">
        <v>244</v>
      </c>
      <c r="C1094" s="5">
        <v>240</v>
      </c>
      <c r="D1094" s="5">
        <v>139</v>
      </c>
      <c r="F1094" s="4" t="s">
        <v>9</v>
      </c>
      <c r="G1094" s="4" t="s">
        <v>3562</v>
      </c>
      <c r="H1094" s="6" t="s">
        <v>11</v>
      </c>
    </row>
    <row r="1095" spans="1:8" x14ac:dyDescent="0.25">
      <c r="A1095" s="4" t="s">
        <v>3563</v>
      </c>
      <c r="B1095" s="4" t="s">
        <v>244</v>
      </c>
      <c r="C1095" s="5">
        <v>240</v>
      </c>
      <c r="D1095" s="5">
        <v>136.33000000000001</v>
      </c>
      <c r="F1095" s="4" t="s">
        <v>9</v>
      </c>
      <c r="G1095" s="4" t="s">
        <v>3564</v>
      </c>
      <c r="H1095" s="6" t="s">
        <v>11</v>
      </c>
    </row>
    <row r="1096" spans="1:8" x14ac:dyDescent="0.25">
      <c r="A1096" s="4" t="s">
        <v>3565</v>
      </c>
      <c r="B1096" s="4" t="s">
        <v>244</v>
      </c>
      <c r="C1096" s="5">
        <v>240</v>
      </c>
      <c r="D1096" s="5">
        <v>135</v>
      </c>
      <c r="F1096" s="4" t="s">
        <v>9</v>
      </c>
      <c r="G1096" s="4" t="s">
        <v>3566</v>
      </c>
      <c r="H1096" s="6" t="s">
        <v>11</v>
      </c>
    </row>
    <row r="1097" spans="1:8" x14ac:dyDescent="0.25">
      <c r="A1097" s="4" t="s">
        <v>3567</v>
      </c>
      <c r="B1097" s="4" t="s">
        <v>244</v>
      </c>
      <c r="C1097" s="5">
        <v>240</v>
      </c>
      <c r="D1097" s="5">
        <v>135</v>
      </c>
      <c r="F1097" s="4" t="s">
        <v>9</v>
      </c>
      <c r="G1097" s="4" t="s">
        <v>3568</v>
      </c>
      <c r="H1097" s="6" t="s">
        <v>11</v>
      </c>
    </row>
    <row r="1098" spans="1:8" x14ac:dyDescent="0.25">
      <c r="A1098" s="4" t="s">
        <v>3569</v>
      </c>
      <c r="B1098" s="4" t="s">
        <v>244</v>
      </c>
      <c r="C1098" s="5">
        <v>240</v>
      </c>
      <c r="D1098" s="5">
        <v>135</v>
      </c>
      <c r="F1098" s="4" t="s">
        <v>9</v>
      </c>
      <c r="G1098" s="4" t="s">
        <v>3570</v>
      </c>
      <c r="H1098" s="6" t="s">
        <v>11</v>
      </c>
    </row>
    <row r="1099" spans="1:8" x14ac:dyDescent="0.25">
      <c r="A1099" s="4" t="s">
        <v>3571</v>
      </c>
      <c r="B1099" s="4" t="s">
        <v>244</v>
      </c>
      <c r="C1099" s="5">
        <v>240</v>
      </c>
      <c r="D1099" s="5">
        <v>150</v>
      </c>
      <c r="F1099" s="4" t="s">
        <v>9</v>
      </c>
      <c r="G1099" s="4" t="s">
        <v>3572</v>
      </c>
      <c r="H1099" s="6" t="s">
        <v>11</v>
      </c>
    </row>
    <row r="1100" spans="1:8" x14ac:dyDescent="0.25">
      <c r="A1100" s="4" t="s">
        <v>3573</v>
      </c>
      <c r="B1100" s="4" t="s">
        <v>244</v>
      </c>
      <c r="C1100" s="5">
        <v>240</v>
      </c>
      <c r="D1100" s="5">
        <v>150</v>
      </c>
      <c r="F1100" s="4" t="s">
        <v>9</v>
      </c>
      <c r="G1100" s="4" t="s">
        <v>3574</v>
      </c>
      <c r="H1100" s="6" t="s">
        <v>11</v>
      </c>
    </row>
    <row r="1101" spans="1:8" x14ac:dyDescent="0.25">
      <c r="A1101" s="4" t="s">
        <v>3575</v>
      </c>
      <c r="B1101" s="4" t="s">
        <v>244</v>
      </c>
      <c r="C1101" s="5">
        <v>240</v>
      </c>
      <c r="D1101" s="5">
        <v>150</v>
      </c>
      <c r="F1101" s="4" t="s">
        <v>9</v>
      </c>
      <c r="G1101" s="4" t="s">
        <v>3576</v>
      </c>
      <c r="H1101" s="6" t="s">
        <v>11</v>
      </c>
    </row>
    <row r="1102" spans="1:8" x14ac:dyDescent="0.25">
      <c r="A1102" s="4" t="s">
        <v>3577</v>
      </c>
      <c r="B1102" s="4" t="s">
        <v>244</v>
      </c>
      <c r="C1102" s="5">
        <v>240</v>
      </c>
      <c r="D1102" s="5">
        <v>150</v>
      </c>
      <c r="F1102" s="4" t="s">
        <v>9</v>
      </c>
      <c r="G1102" s="4" t="s">
        <v>3578</v>
      </c>
      <c r="H1102" s="6" t="s">
        <v>11</v>
      </c>
    </row>
    <row r="1103" spans="1:8" x14ac:dyDescent="0.25">
      <c r="A1103" s="4" t="s">
        <v>3579</v>
      </c>
      <c r="B1103" s="4" t="s">
        <v>244</v>
      </c>
      <c r="C1103" s="5">
        <v>240</v>
      </c>
      <c r="D1103" s="5">
        <v>150</v>
      </c>
      <c r="F1103" s="4" t="s">
        <v>9</v>
      </c>
      <c r="G1103" s="4" t="s">
        <v>3580</v>
      </c>
      <c r="H1103" s="6" t="s">
        <v>11</v>
      </c>
    </row>
    <row r="1104" spans="1:8" x14ac:dyDescent="0.25">
      <c r="A1104" s="4" t="s">
        <v>3581</v>
      </c>
      <c r="B1104" s="4" t="s">
        <v>244</v>
      </c>
      <c r="C1104" s="5">
        <v>240</v>
      </c>
      <c r="D1104" s="5">
        <v>139</v>
      </c>
      <c r="F1104" s="4" t="s">
        <v>9</v>
      </c>
      <c r="G1104" s="4" t="s">
        <v>3582</v>
      </c>
      <c r="H1104" s="6" t="s">
        <v>11</v>
      </c>
    </row>
    <row r="1105" spans="1:8" x14ac:dyDescent="0.25">
      <c r="A1105" s="4" t="str">
        <f>"MOLETOM AMARELO - LOGO GDE (3XG) "</f>
        <v xml:space="preserve">MOLETOM AMARELO - LOGO GDE (3XG) </v>
      </c>
      <c r="B1105" s="4" t="s">
        <v>244</v>
      </c>
      <c r="C1105" s="5">
        <v>250</v>
      </c>
      <c r="D1105" s="5">
        <v>139</v>
      </c>
      <c r="F1105" s="4" t="s">
        <v>9</v>
      </c>
      <c r="G1105" s="4" t="s">
        <v>3583</v>
      </c>
      <c r="H1105" s="6" t="s">
        <v>11</v>
      </c>
    </row>
    <row r="1106" spans="1:8" x14ac:dyDescent="0.25">
      <c r="A1106" s="4" t="s">
        <v>3584</v>
      </c>
      <c r="B1106" s="4" t="s">
        <v>244</v>
      </c>
      <c r="C1106" s="5">
        <v>240</v>
      </c>
      <c r="F1106" s="4" t="s">
        <v>9</v>
      </c>
      <c r="G1106" s="4" t="s">
        <v>3585</v>
      </c>
      <c r="H1106" s="6" t="s">
        <v>11</v>
      </c>
    </row>
    <row r="1107" spans="1:8" x14ac:dyDescent="0.25">
      <c r="A1107" s="4" t="s">
        <v>3586</v>
      </c>
      <c r="B1107" s="4" t="s">
        <v>244</v>
      </c>
      <c r="C1107" s="5">
        <v>240</v>
      </c>
      <c r="F1107" s="4" t="s">
        <v>9</v>
      </c>
      <c r="G1107" s="4" t="s">
        <v>3587</v>
      </c>
      <c r="H1107" s="6" t="s">
        <v>11</v>
      </c>
    </row>
    <row r="1108" spans="1:8" x14ac:dyDescent="0.25">
      <c r="A1108" s="4" t="s">
        <v>3588</v>
      </c>
      <c r="B1108" s="4" t="s">
        <v>244</v>
      </c>
      <c r="C1108" s="5">
        <v>240</v>
      </c>
      <c r="F1108" s="4" t="s">
        <v>9</v>
      </c>
      <c r="G1108" s="4" t="s">
        <v>3589</v>
      </c>
      <c r="H1108" s="6" t="s">
        <v>11</v>
      </c>
    </row>
    <row r="1109" spans="1:8" x14ac:dyDescent="0.25">
      <c r="A1109" s="4" t="s">
        <v>3590</v>
      </c>
      <c r="B1109" s="4" t="s">
        <v>244</v>
      </c>
      <c r="C1109" s="5">
        <v>240</v>
      </c>
      <c r="D1109" s="5">
        <v>135</v>
      </c>
      <c r="E1109" s="5">
        <v>1</v>
      </c>
      <c r="F1109" s="4" t="s">
        <v>9</v>
      </c>
      <c r="G1109" s="4" t="s">
        <v>3591</v>
      </c>
      <c r="H1109" s="6" t="s">
        <v>11</v>
      </c>
    </row>
    <row r="1110" spans="1:8" x14ac:dyDescent="0.25">
      <c r="A1110" s="4" t="s">
        <v>3592</v>
      </c>
      <c r="B1110" s="4" t="s">
        <v>244</v>
      </c>
      <c r="C1110" s="5">
        <v>240</v>
      </c>
      <c r="F1110" s="4" t="s">
        <v>9</v>
      </c>
      <c r="G1110" s="4" t="s">
        <v>3593</v>
      </c>
      <c r="H1110" s="6" t="s">
        <v>11</v>
      </c>
    </row>
    <row r="1111" spans="1:8" x14ac:dyDescent="0.25">
      <c r="A1111" s="4" t="s">
        <v>3594</v>
      </c>
      <c r="B1111" s="4" t="s">
        <v>244</v>
      </c>
      <c r="C1111" s="5">
        <v>240</v>
      </c>
      <c r="F1111" s="4" t="s">
        <v>9</v>
      </c>
      <c r="G1111" s="4" t="s">
        <v>3595</v>
      </c>
      <c r="H1111" s="6" t="s">
        <v>11</v>
      </c>
    </row>
    <row r="1112" spans="1:8" x14ac:dyDescent="0.25">
      <c r="A1112" s="4" t="s">
        <v>3596</v>
      </c>
      <c r="B1112" s="4" t="s">
        <v>244</v>
      </c>
      <c r="C1112" s="5">
        <v>240</v>
      </c>
      <c r="F1112" s="4" t="s">
        <v>9</v>
      </c>
      <c r="G1112" s="4" t="s">
        <v>3597</v>
      </c>
      <c r="H1112" s="6" t="s">
        <v>11</v>
      </c>
    </row>
    <row r="1113" spans="1:8" x14ac:dyDescent="0.25">
      <c r="A1113" s="4" t="s">
        <v>3598</v>
      </c>
      <c r="B1113" s="4" t="s">
        <v>244</v>
      </c>
      <c r="C1113" s="5">
        <v>240</v>
      </c>
      <c r="F1113" s="4" t="s">
        <v>9</v>
      </c>
      <c r="G1113" s="4" t="s">
        <v>3599</v>
      </c>
      <c r="H1113" s="6" t="s">
        <v>11</v>
      </c>
    </row>
    <row r="1114" spans="1:8" x14ac:dyDescent="0.25">
      <c r="A1114" s="4" t="s">
        <v>3600</v>
      </c>
      <c r="B1114" s="4" t="s">
        <v>244</v>
      </c>
      <c r="C1114" s="5">
        <v>240</v>
      </c>
      <c r="F1114" s="4" t="s">
        <v>9</v>
      </c>
      <c r="G1114" s="4" t="s">
        <v>3601</v>
      </c>
      <c r="H1114" s="6" t="s">
        <v>11</v>
      </c>
    </row>
    <row r="1115" spans="1:8" x14ac:dyDescent="0.25">
      <c r="A1115" s="4" t="s">
        <v>3602</v>
      </c>
      <c r="B1115" s="4" t="s">
        <v>244</v>
      </c>
      <c r="C1115" s="5">
        <v>240</v>
      </c>
      <c r="F1115" s="4" t="s">
        <v>9</v>
      </c>
      <c r="G1115" s="4" t="s">
        <v>3603</v>
      </c>
      <c r="H1115" s="6" t="s">
        <v>11</v>
      </c>
    </row>
    <row r="1116" spans="1:8" x14ac:dyDescent="0.25">
      <c r="A1116" s="4" t="s">
        <v>3604</v>
      </c>
      <c r="B1116" s="4" t="s">
        <v>244</v>
      </c>
      <c r="C1116" s="5">
        <v>240</v>
      </c>
      <c r="F1116" s="4" t="s">
        <v>9</v>
      </c>
      <c r="G1116" s="4" t="s">
        <v>3605</v>
      </c>
      <c r="H1116" s="6" t="s">
        <v>11</v>
      </c>
    </row>
    <row r="1117" spans="1:8" x14ac:dyDescent="0.25">
      <c r="A1117" s="4" t="str">
        <f>"MOLETOM CANGURU P/ DOG- VERMELHO BSTRDS COMPANY (EXGG) "</f>
        <v xml:space="preserve">MOLETOM CANGURU P/ DOG- VERMELHO BSTRDS COMPANY (EXGG) </v>
      </c>
      <c r="B1117" s="4" t="s">
        <v>244</v>
      </c>
      <c r="C1117" s="5">
        <v>180</v>
      </c>
      <c r="D1117" s="5">
        <v>90</v>
      </c>
      <c r="F1117" s="4" t="s">
        <v>9</v>
      </c>
      <c r="G1117" s="4" t="s">
        <v>3619</v>
      </c>
      <c r="H1117" s="6" t="s">
        <v>11</v>
      </c>
    </row>
    <row r="1118" spans="1:8" x14ac:dyDescent="0.25">
      <c r="A1118" s="4" t="s">
        <v>3623</v>
      </c>
      <c r="B1118" s="4" t="s">
        <v>244</v>
      </c>
      <c r="C1118" s="5">
        <v>150</v>
      </c>
      <c r="D1118" s="5">
        <v>68.33</v>
      </c>
      <c r="F1118" s="4" t="s">
        <v>9</v>
      </c>
      <c r="G1118" s="4" t="s">
        <v>3624</v>
      </c>
      <c r="H1118" s="6" t="s">
        <v>11</v>
      </c>
    </row>
    <row r="1119" spans="1:8" x14ac:dyDescent="0.25">
      <c r="A1119" s="4" t="str">
        <f>"MOLETOM CANGURU P/ DOG- VERMELHO BSTRDS COMPANY (M) "</f>
        <v xml:space="preserve">MOLETOM CANGURU P/ DOG- VERMELHO BSTRDS COMPANY (M) </v>
      </c>
      <c r="B1119" s="4" t="s">
        <v>244</v>
      </c>
      <c r="C1119" s="5">
        <v>130</v>
      </c>
      <c r="D1119" s="5">
        <v>63.33</v>
      </c>
      <c r="F1119" s="4" t="s">
        <v>9</v>
      </c>
      <c r="G1119" s="4" t="s">
        <v>3625</v>
      </c>
      <c r="H1119" s="6" t="s">
        <v>11</v>
      </c>
    </row>
    <row r="1120" spans="1:8" x14ac:dyDescent="0.25">
      <c r="A1120" s="4" t="s">
        <v>3626</v>
      </c>
      <c r="B1120" s="4" t="s">
        <v>244</v>
      </c>
      <c r="C1120" s="5">
        <v>130</v>
      </c>
      <c r="D1120" s="5">
        <v>63.33</v>
      </c>
      <c r="F1120" s="4" t="s">
        <v>9</v>
      </c>
      <c r="G1120" s="4" t="s">
        <v>3627</v>
      </c>
      <c r="H1120" s="6" t="s">
        <v>11</v>
      </c>
    </row>
    <row r="1121" spans="1:8" x14ac:dyDescent="0.25">
      <c r="A1121" s="4" t="str">
        <f>"MOLETOM CANGURU PRETO BSTRDS COMPANY  (2XG) - ESTOQUE TAP "</f>
        <v xml:space="preserve">MOLETOM CANGURU PRETO BSTRDS COMPANY  (2XG) - ESTOQUE TAP </v>
      </c>
      <c r="B1121" s="4" t="s">
        <v>244</v>
      </c>
      <c r="C1121" s="5">
        <v>240</v>
      </c>
      <c r="D1121" s="5">
        <v>140</v>
      </c>
      <c r="F1121" s="4" t="s">
        <v>9</v>
      </c>
      <c r="G1121" s="4" t="s">
        <v>3628</v>
      </c>
      <c r="H1121" s="6" t="s">
        <v>11</v>
      </c>
    </row>
    <row r="1122" spans="1:8" x14ac:dyDescent="0.25">
      <c r="A1122" s="4" t="str">
        <f>"MOLETOM CANGURU PRETO BSTRDS COMPANY  (G) - ESTOQUE TAP "</f>
        <v xml:space="preserve">MOLETOM CANGURU PRETO BSTRDS COMPANY  (G) - ESTOQUE TAP </v>
      </c>
      <c r="B1122" s="4" t="s">
        <v>244</v>
      </c>
      <c r="C1122" s="5">
        <v>240</v>
      </c>
      <c r="D1122" s="5">
        <v>140</v>
      </c>
      <c r="F1122" s="4" t="s">
        <v>9</v>
      </c>
      <c r="G1122" s="4" t="s">
        <v>3629</v>
      </c>
      <c r="H1122" s="6" t="s">
        <v>11</v>
      </c>
    </row>
    <row r="1123" spans="1:8" x14ac:dyDescent="0.25">
      <c r="A1123" s="4" t="str">
        <f>"MOLETOM CANGURU PRETO BSTRDS COMPANY  (GG) - ESTOQUE TAP "</f>
        <v xml:space="preserve">MOLETOM CANGURU PRETO BSTRDS COMPANY  (GG) - ESTOQUE TAP </v>
      </c>
      <c r="B1123" s="4" t="s">
        <v>244</v>
      </c>
      <c r="C1123" s="5">
        <v>240</v>
      </c>
      <c r="D1123" s="5">
        <v>140</v>
      </c>
      <c r="F1123" s="4" t="s">
        <v>9</v>
      </c>
      <c r="G1123" s="4" t="s">
        <v>3630</v>
      </c>
      <c r="H1123" s="6" t="s">
        <v>11</v>
      </c>
    </row>
    <row r="1124" spans="1:8" x14ac:dyDescent="0.25">
      <c r="A1124" s="4" t="str">
        <f>"MOLETOM CANGURU PRETO BSTRDS COMPANY  (M) - ESTOQUE TAP "</f>
        <v xml:space="preserve">MOLETOM CANGURU PRETO BSTRDS COMPANY  (M) - ESTOQUE TAP </v>
      </c>
      <c r="B1124" s="4" t="s">
        <v>244</v>
      </c>
      <c r="C1124" s="5">
        <v>240</v>
      </c>
      <c r="D1124" s="5">
        <v>140</v>
      </c>
      <c r="F1124" s="4" t="s">
        <v>9</v>
      </c>
      <c r="G1124" s="4" t="s">
        <v>3631</v>
      </c>
      <c r="H1124" s="6" t="s">
        <v>11</v>
      </c>
    </row>
    <row r="1125" spans="1:8" x14ac:dyDescent="0.25">
      <c r="A1125" s="4" t="s">
        <v>3632</v>
      </c>
      <c r="B1125" s="4" t="s">
        <v>244</v>
      </c>
      <c r="C1125" s="5">
        <v>240</v>
      </c>
      <c r="D1125" s="5">
        <v>140</v>
      </c>
      <c r="F1125" s="4" t="s">
        <v>9</v>
      </c>
      <c r="G1125" s="4" t="s">
        <v>3633</v>
      </c>
      <c r="H1125" s="6" t="s">
        <v>11</v>
      </c>
    </row>
    <row r="1126" spans="1:8" x14ac:dyDescent="0.25">
      <c r="A1126" s="4" t="s">
        <v>3634</v>
      </c>
      <c r="B1126" s="4" t="s">
        <v>244</v>
      </c>
      <c r="C1126" s="5">
        <v>240</v>
      </c>
      <c r="D1126" s="5">
        <v>140</v>
      </c>
      <c r="F1126" s="4" t="s">
        <v>9</v>
      </c>
      <c r="G1126" s="4" t="s">
        <v>3635</v>
      </c>
      <c r="H1126" s="6" t="s">
        <v>11</v>
      </c>
    </row>
    <row r="1127" spans="1:8" x14ac:dyDescent="0.25">
      <c r="A1127" s="4" t="s">
        <v>3636</v>
      </c>
      <c r="B1127" s="4" t="s">
        <v>244</v>
      </c>
      <c r="C1127" s="5">
        <v>240</v>
      </c>
      <c r="D1127" s="5">
        <v>135</v>
      </c>
      <c r="F1127" s="4" t="s">
        <v>9</v>
      </c>
      <c r="G1127" s="4" t="s">
        <v>3637</v>
      </c>
      <c r="H1127" s="6" t="s">
        <v>11</v>
      </c>
    </row>
    <row r="1128" spans="1:8" x14ac:dyDescent="0.25">
      <c r="A1128" s="4" t="s">
        <v>3638</v>
      </c>
      <c r="B1128" s="4" t="s">
        <v>244</v>
      </c>
      <c r="C1128" s="5">
        <v>240</v>
      </c>
      <c r="D1128" s="5">
        <v>147.01</v>
      </c>
      <c r="F1128" s="4" t="s">
        <v>9</v>
      </c>
      <c r="G1128" s="4" t="s">
        <v>3639</v>
      </c>
      <c r="H1128" s="6" t="s">
        <v>11</v>
      </c>
    </row>
    <row r="1129" spans="1:8" x14ac:dyDescent="0.25">
      <c r="A1129" s="4" t="s">
        <v>3640</v>
      </c>
      <c r="B1129" s="4" t="s">
        <v>244</v>
      </c>
      <c r="C1129" s="5">
        <v>240</v>
      </c>
      <c r="D1129" s="5">
        <v>140</v>
      </c>
      <c r="F1129" s="4" t="s">
        <v>9</v>
      </c>
      <c r="G1129" s="4" t="s">
        <v>3641</v>
      </c>
      <c r="H1129" s="6" t="s">
        <v>11</v>
      </c>
    </row>
    <row r="1130" spans="1:8" x14ac:dyDescent="0.25">
      <c r="A1130" s="4" t="str">
        <f>"MOLETOM CANGURU VERDE ESTONADO BSTRDS COMPANY  (M) "</f>
        <v xml:space="preserve">MOLETOM CANGURU VERDE ESTONADO BSTRDS COMPANY  (M) </v>
      </c>
      <c r="B1130" s="4" t="s">
        <v>244</v>
      </c>
      <c r="C1130" s="5">
        <v>240</v>
      </c>
      <c r="D1130" s="5">
        <v>142.91999999999999</v>
      </c>
      <c r="F1130" s="4" t="s">
        <v>9</v>
      </c>
      <c r="G1130" s="4" t="s">
        <v>3642</v>
      </c>
      <c r="H1130" s="6" t="s">
        <v>11</v>
      </c>
    </row>
    <row r="1131" spans="1:8" x14ac:dyDescent="0.25">
      <c r="A1131" s="4" t="str">
        <f>"MOLETOM CANGURU VERDE ESTONADO BSTRDS COMPANY  (P) "</f>
        <v xml:space="preserve">MOLETOM CANGURU VERDE ESTONADO BSTRDS COMPANY  (P) </v>
      </c>
      <c r="B1131" s="4" t="s">
        <v>244</v>
      </c>
      <c r="C1131" s="5">
        <v>240</v>
      </c>
      <c r="D1131" s="5">
        <v>144.38</v>
      </c>
      <c r="F1131" s="4" t="s">
        <v>9</v>
      </c>
      <c r="G1131" s="4" t="s">
        <v>3643</v>
      </c>
      <c r="H1131" s="6" t="s">
        <v>11</v>
      </c>
    </row>
    <row r="1132" spans="1:8" x14ac:dyDescent="0.25">
      <c r="A1132" s="4" t="str">
        <f>"MOLETOM CANGURU VERDE ESTONADO BSTRDS COMPANY  (PP) "</f>
        <v xml:space="preserve">MOLETOM CANGURU VERDE ESTONADO BSTRDS COMPANY  (PP) </v>
      </c>
      <c r="B1132" s="4" t="s">
        <v>244</v>
      </c>
      <c r="C1132" s="5">
        <v>240</v>
      </c>
      <c r="D1132" s="5">
        <v>135</v>
      </c>
      <c r="F1132" s="4" t="s">
        <v>9</v>
      </c>
      <c r="G1132" s="4" t="s">
        <v>3644</v>
      </c>
      <c r="H1132" s="6" t="s">
        <v>11</v>
      </c>
    </row>
    <row r="1133" spans="1:8" x14ac:dyDescent="0.25">
      <c r="A1133" s="4" t="str">
        <f>"MOLETOM CANGURU VERDE ESTONADO BSTRDS COMPANY  (XG) "</f>
        <v xml:space="preserve">MOLETOM CANGURU VERDE ESTONADO BSTRDS COMPANY  (XG) </v>
      </c>
      <c r="B1133" s="4" t="s">
        <v>244</v>
      </c>
      <c r="C1133" s="5">
        <v>240</v>
      </c>
      <c r="D1133" s="5">
        <v>140</v>
      </c>
      <c r="F1133" s="4" t="s">
        <v>9</v>
      </c>
      <c r="G1133" s="4" t="s">
        <v>3645</v>
      </c>
      <c r="H1133" s="6" t="s">
        <v>11</v>
      </c>
    </row>
    <row r="1134" spans="1:8" x14ac:dyDescent="0.25">
      <c r="A1134" s="4" t="s">
        <v>3646</v>
      </c>
      <c r="B1134" s="4" t="s">
        <v>244</v>
      </c>
      <c r="C1134" s="5">
        <v>240</v>
      </c>
      <c r="D1134" s="5">
        <v>135</v>
      </c>
      <c r="F1134" s="4" t="s">
        <v>9</v>
      </c>
      <c r="G1134" s="4" t="s">
        <v>3647</v>
      </c>
      <c r="H1134" s="6" t="s">
        <v>11</v>
      </c>
    </row>
    <row r="1135" spans="1:8" x14ac:dyDescent="0.25">
      <c r="A1135" s="4" t="str">
        <f>"MOLETOM CINZA - LOGO GDE (3XG) "</f>
        <v xml:space="preserve">MOLETOM CINZA - LOGO GDE (3XG) </v>
      </c>
      <c r="B1135" s="4" t="s">
        <v>244</v>
      </c>
      <c r="C1135" s="5">
        <v>240</v>
      </c>
      <c r="D1135" s="5">
        <v>139</v>
      </c>
      <c r="F1135" s="4" t="s">
        <v>9</v>
      </c>
      <c r="G1135" s="4" t="s">
        <v>3691</v>
      </c>
      <c r="H1135" s="6" t="s">
        <v>11</v>
      </c>
    </row>
    <row r="1136" spans="1:8" x14ac:dyDescent="0.25">
      <c r="A1136" s="4" t="s">
        <v>3692</v>
      </c>
      <c r="B1136" s="4" t="s">
        <v>244</v>
      </c>
      <c r="C1136" s="5">
        <v>240</v>
      </c>
      <c r="D1136" s="5">
        <v>135</v>
      </c>
      <c r="F1136" s="4" t="s">
        <v>9</v>
      </c>
      <c r="G1136" s="4" t="s">
        <v>3693</v>
      </c>
      <c r="H1136" s="6" t="s">
        <v>11</v>
      </c>
    </row>
    <row r="1137" spans="1:8" x14ac:dyDescent="0.25">
      <c r="A1137" s="4" t="s">
        <v>3694</v>
      </c>
      <c r="B1137" s="4" t="s">
        <v>244</v>
      </c>
      <c r="C1137" s="5">
        <v>240</v>
      </c>
      <c r="D1137" s="5">
        <v>135</v>
      </c>
      <c r="F1137" s="4" t="s">
        <v>9</v>
      </c>
      <c r="G1137" s="4" t="s">
        <v>3695</v>
      </c>
      <c r="H1137" s="6" t="s">
        <v>11</v>
      </c>
    </row>
    <row r="1138" spans="1:8" x14ac:dyDescent="0.25">
      <c r="A1138" s="4" t="s">
        <v>3696</v>
      </c>
      <c r="B1138" s="4" t="s">
        <v>244</v>
      </c>
      <c r="C1138" s="5">
        <v>240</v>
      </c>
      <c r="D1138" s="5">
        <v>135</v>
      </c>
      <c r="F1138" s="4" t="s">
        <v>9</v>
      </c>
      <c r="G1138" s="4" t="s">
        <v>3697</v>
      </c>
      <c r="H1138" s="6" t="s">
        <v>11</v>
      </c>
    </row>
    <row r="1139" spans="1:8" x14ac:dyDescent="0.25">
      <c r="A1139" s="4" t="s">
        <v>3698</v>
      </c>
      <c r="B1139" s="4" t="s">
        <v>244</v>
      </c>
      <c r="C1139" s="5">
        <v>240</v>
      </c>
      <c r="D1139" s="5">
        <v>137.66999999999999</v>
      </c>
      <c r="F1139" s="4" t="s">
        <v>9</v>
      </c>
      <c r="G1139" s="4" t="s">
        <v>3699</v>
      </c>
      <c r="H1139" s="6" t="s">
        <v>11</v>
      </c>
    </row>
    <row r="1140" spans="1:8" x14ac:dyDescent="0.25">
      <c r="A1140" s="4" t="s">
        <v>3700</v>
      </c>
      <c r="B1140" s="4" t="s">
        <v>244</v>
      </c>
      <c r="C1140" s="5">
        <v>240</v>
      </c>
      <c r="D1140" s="5">
        <v>135</v>
      </c>
      <c r="F1140" s="4" t="s">
        <v>9</v>
      </c>
      <c r="G1140" s="4" t="s">
        <v>3701</v>
      </c>
      <c r="H1140" s="6" t="s">
        <v>11</v>
      </c>
    </row>
    <row r="1141" spans="1:8" x14ac:dyDescent="0.25">
      <c r="A1141" s="4" t="s">
        <v>3702</v>
      </c>
      <c r="B1141" s="4" t="s">
        <v>244</v>
      </c>
      <c r="C1141" s="5">
        <v>240</v>
      </c>
      <c r="D1141" s="5">
        <v>125</v>
      </c>
      <c r="F1141" s="4" t="s">
        <v>9</v>
      </c>
      <c r="G1141" s="4" t="s">
        <v>3703</v>
      </c>
      <c r="H1141" s="6" t="s">
        <v>11</v>
      </c>
    </row>
    <row r="1142" spans="1:8" x14ac:dyDescent="0.25">
      <c r="A1142" s="4" t="s">
        <v>3704</v>
      </c>
      <c r="B1142" s="4" t="s">
        <v>244</v>
      </c>
      <c r="C1142" s="5">
        <v>240</v>
      </c>
      <c r="D1142" s="5">
        <v>139</v>
      </c>
      <c r="F1142" s="4" t="s">
        <v>9</v>
      </c>
      <c r="G1142" s="4" t="s">
        <v>3705</v>
      </c>
      <c r="H1142" s="6" t="s">
        <v>11</v>
      </c>
    </row>
    <row r="1143" spans="1:8" x14ac:dyDescent="0.25">
      <c r="A1143" s="4" t="str">
        <f>"MOLETOM CREME - BSTRDS MANGA -  M "</f>
        <v xml:space="preserve">MOLETOM CREME - BSTRDS MANGA -  M </v>
      </c>
      <c r="B1143" s="4" t="s">
        <v>244</v>
      </c>
      <c r="C1143" s="5">
        <v>240</v>
      </c>
      <c r="D1143" s="5">
        <v>139</v>
      </c>
      <c r="F1143" s="4" t="s">
        <v>9</v>
      </c>
      <c r="G1143" s="4" t="s">
        <v>3706</v>
      </c>
      <c r="H1143" s="6" t="s">
        <v>11</v>
      </c>
    </row>
    <row r="1144" spans="1:8" x14ac:dyDescent="0.25">
      <c r="A1144" s="4" t="str">
        <f>"MOLETOM CREME - BSTRDS MANGA -  P "</f>
        <v xml:space="preserve">MOLETOM CREME - BSTRDS MANGA -  P </v>
      </c>
      <c r="B1144" s="4" t="s">
        <v>244</v>
      </c>
      <c r="C1144" s="5">
        <v>240</v>
      </c>
      <c r="D1144" s="5">
        <v>139</v>
      </c>
      <c r="F1144" s="4" t="s">
        <v>9</v>
      </c>
      <c r="G1144" s="4" t="s">
        <v>3707</v>
      </c>
      <c r="H1144" s="6" t="s">
        <v>11</v>
      </c>
    </row>
    <row r="1145" spans="1:8" x14ac:dyDescent="0.25">
      <c r="A1145" s="4" t="str">
        <f>"MOLETOM CREME - BSTRDS MANGA -  PP "</f>
        <v xml:space="preserve">MOLETOM CREME - BSTRDS MANGA -  PP </v>
      </c>
      <c r="B1145" s="4" t="s">
        <v>244</v>
      </c>
      <c r="C1145" s="5">
        <v>240</v>
      </c>
      <c r="D1145" s="5">
        <v>139</v>
      </c>
      <c r="F1145" s="4" t="s">
        <v>9</v>
      </c>
      <c r="G1145" s="4" t="s">
        <v>3708</v>
      </c>
      <c r="H1145" s="6" t="s">
        <v>11</v>
      </c>
    </row>
    <row r="1146" spans="1:8" x14ac:dyDescent="0.25">
      <c r="A1146" s="4" t="str">
        <f>"MOLETOM CREME - BSTRDS MANGA - GG "</f>
        <v xml:space="preserve">MOLETOM CREME - BSTRDS MANGA - GG </v>
      </c>
      <c r="B1146" s="4" t="s">
        <v>244</v>
      </c>
      <c r="C1146" s="5">
        <v>240</v>
      </c>
      <c r="D1146" s="5">
        <v>139</v>
      </c>
      <c r="F1146" s="4" t="s">
        <v>9</v>
      </c>
      <c r="G1146" s="4" t="s">
        <v>3709</v>
      </c>
      <c r="H1146" s="6" t="s">
        <v>11</v>
      </c>
    </row>
    <row r="1147" spans="1:8" x14ac:dyDescent="0.25">
      <c r="A1147" s="4" t="str">
        <f>"MOLETOM CREME - BSTRDS MANGA - XG "</f>
        <v xml:space="preserve">MOLETOM CREME - BSTRDS MANGA - XG </v>
      </c>
      <c r="B1147" s="4" t="s">
        <v>244</v>
      </c>
      <c r="C1147" s="5">
        <v>240</v>
      </c>
      <c r="D1147" s="5">
        <v>139</v>
      </c>
      <c r="F1147" s="4" t="s">
        <v>9</v>
      </c>
      <c r="G1147" s="4" t="s">
        <v>3710</v>
      </c>
      <c r="H1147" s="6" t="s">
        <v>11</v>
      </c>
    </row>
    <row r="1148" spans="1:8" x14ac:dyDescent="0.25">
      <c r="A1148" s="4" t="s">
        <v>3711</v>
      </c>
      <c r="B1148" s="4" t="s">
        <v>244</v>
      </c>
      <c r="C1148" s="5">
        <v>170</v>
      </c>
      <c r="F1148" s="4" t="s">
        <v>9</v>
      </c>
      <c r="G1148" s="4" t="s">
        <v>3712</v>
      </c>
      <c r="H1148" s="6" t="s">
        <v>11</v>
      </c>
    </row>
    <row r="1149" spans="1:8" x14ac:dyDescent="0.25">
      <c r="A1149" s="4" t="s">
        <v>3713</v>
      </c>
      <c r="B1149" s="4" t="s">
        <v>244</v>
      </c>
      <c r="C1149" s="5">
        <v>170</v>
      </c>
      <c r="F1149" s="4" t="s">
        <v>9</v>
      </c>
      <c r="G1149" s="4" t="s">
        <v>3714</v>
      </c>
      <c r="H1149" s="6" t="s">
        <v>11</v>
      </c>
    </row>
    <row r="1150" spans="1:8" x14ac:dyDescent="0.25">
      <c r="A1150" s="4" t="s">
        <v>3715</v>
      </c>
      <c r="B1150" s="4" t="s">
        <v>244</v>
      </c>
      <c r="C1150" s="5">
        <v>170</v>
      </c>
      <c r="F1150" s="4" t="s">
        <v>9</v>
      </c>
      <c r="G1150" s="4" t="s">
        <v>3716</v>
      </c>
      <c r="H1150" s="6" t="s">
        <v>11</v>
      </c>
    </row>
    <row r="1151" spans="1:8" x14ac:dyDescent="0.25">
      <c r="A1151" s="4" t="s">
        <v>3717</v>
      </c>
      <c r="B1151" s="4" t="s">
        <v>244</v>
      </c>
      <c r="C1151" s="5">
        <v>240</v>
      </c>
      <c r="F1151" s="4" t="s">
        <v>9</v>
      </c>
      <c r="G1151" s="4" t="s">
        <v>3718</v>
      </c>
      <c r="H1151" s="6" t="s">
        <v>11</v>
      </c>
    </row>
    <row r="1152" spans="1:8" x14ac:dyDescent="0.25">
      <c r="A1152" s="4" t="s">
        <v>3719</v>
      </c>
      <c r="B1152" s="4" t="s">
        <v>244</v>
      </c>
      <c r="C1152" s="5">
        <v>240</v>
      </c>
      <c r="F1152" s="4" t="s">
        <v>9</v>
      </c>
      <c r="G1152" s="4" t="s">
        <v>3720</v>
      </c>
      <c r="H1152" s="6" t="s">
        <v>11</v>
      </c>
    </row>
    <row r="1153" spans="1:8" x14ac:dyDescent="0.25">
      <c r="A1153" s="4" t="s">
        <v>3721</v>
      </c>
      <c r="B1153" s="4" t="s">
        <v>244</v>
      </c>
      <c r="C1153" s="5">
        <v>240</v>
      </c>
      <c r="D1153" s="5">
        <v>135</v>
      </c>
      <c r="F1153" s="4" t="s">
        <v>9</v>
      </c>
      <c r="G1153" s="4" t="s">
        <v>3722</v>
      </c>
      <c r="H1153" s="6" t="s">
        <v>11</v>
      </c>
    </row>
    <row r="1154" spans="1:8" x14ac:dyDescent="0.25">
      <c r="A1154" s="4" t="s">
        <v>3723</v>
      </c>
      <c r="B1154" s="4" t="s">
        <v>244</v>
      </c>
      <c r="C1154" s="5">
        <v>240</v>
      </c>
      <c r="F1154" s="4" t="s">
        <v>9</v>
      </c>
      <c r="G1154" s="4" t="s">
        <v>3724</v>
      </c>
      <c r="H1154" s="6" t="s">
        <v>11</v>
      </c>
    </row>
    <row r="1155" spans="1:8" x14ac:dyDescent="0.25">
      <c r="A1155" s="4" t="s">
        <v>3725</v>
      </c>
      <c r="B1155" s="4" t="s">
        <v>244</v>
      </c>
      <c r="C1155" s="5">
        <v>240</v>
      </c>
      <c r="F1155" s="4" t="s">
        <v>9</v>
      </c>
      <c r="G1155" s="4" t="s">
        <v>3726</v>
      </c>
      <c r="H1155" s="6" t="s">
        <v>11</v>
      </c>
    </row>
    <row r="1156" spans="1:8" x14ac:dyDescent="0.25">
      <c r="A1156" s="4" t="s">
        <v>3727</v>
      </c>
      <c r="B1156" s="4" t="s">
        <v>244</v>
      </c>
      <c r="C1156" s="5">
        <v>240</v>
      </c>
      <c r="F1156" s="4" t="s">
        <v>9</v>
      </c>
      <c r="G1156" s="4" t="s">
        <v>3728</v>
      </c>
      <c r="H1156" s="6" t="s">
        <v>11</v>
      </c>
    </row>
    <row r="1157" spans="1:8" x14ac:dyDescent="0.25">
      <c r="A1157" s="4" t="str">
        <f>"MOLETOM PRETO - LOGO GDE BRANCA (3XG) "</f>
        <v xml:space="preserve">MOLETOM PRETO - LOGO GDE BRANCA (3XG) </v>
      </c>
      <c r="B1157" s="4" t="s">
        <v>244</v>
      </c>
      <c r="C1157" s="5">
        <v>240</v>
      </c>
      <c r="D1157" s="5">
        <v>139</v>
      </c>
      <c r="F1157" s="4" t="s">
        <v>9</v>
      </c>
      <c r="G1157" s="4" t="s">
        <v>3729</v>
      </c>
      <c r="H1157" s="6" t="s">
        <v>11</v>
      </c>
    </row>
    <row r="1158" spans="1:8" x14ac:dyDescent="0.25">
      <c r="A1158" s="4" t="s">
        <v>3730</v>
      </c>
      <c r="B1158" s="4" t="s">
        <v>244</v>
      </c>
      <c r="C1158" s="5">
        <v>240</v>
      </c>
      <c r="D1158" s="5">
        <v>135</v>
      </c>
      <c r="F1158" s="4" t="s">
        <v>9</v>
      </c>
      <c r="G1158" s="4" t="s">
        <v>3731</v>
      </c>
      <c r="H1158" s="6" t="s">
        <v>11</v>
      </c>
    </row>
    <row r="1159" spans="1:8" x14ac:dyDescent="0.25">
      <c r="A1159" s="4" t="s">
        <v>3732</v>
      </c>
      <c r="B1159" s="4" t="s">
        <v>244</v>
      </c>
      <c r="C1159" s="5">
        <v>240</v>
      </c>
      <c r="D1159" s="5">
        <v>135</v>
      </c>
      <c r="F1159" s="4" t="s">
        <v>9</v>
      </c>
      <c r="G1159" s="4" t="s">
        <v>3733</v>
      </c>
      <c r="H1159" s="6" t="s">
        <v>11</v>
      </c>
    </row>
    <row r="1160" spans="1:8" x14ac:dyDescent="0.25">
      <c r="A1160" s="4" t="s">
        <v>3734</v>
      </c>
      <c r="B1160" s="4" t="s">
        <v>244</v>
      </c>
      <c r="C1160" s="5">
        <v>240</v>
      </c>
      <c r="D1160" s="5">
        <v>135.6</v>
      </c>
      <c r="F1160" s="4" t="s">
        <v>9</v>
      </c>
      <c r="G1160" s="4" t="s">
        <v>3735</v>
      </c>
      <c r="H1160" s="6" t="s">
        <v>11</v>
      </c>
    </row>
    <row r="1161" spans="1:8" x14ac:dyDescent="0.25">
      <c r="A1161" s="4" t="s">
        <v>3736</v>
      </c>
      <c r="B1161" s="4" t="s">
        <v>244</v>
      </c>
      <c r="C1161" s="5">
        <v>240</v>
      </c>
      <c r="D1161" s="5">
        <v>135.54</v>
      </c>
      <c r="F1161" s="4" t="s">
        <v>9</v>
      </c>
      <c r="G1161" s="4" t="s">
        <v>3737</v>
      </c>
      <c r="H1161" s="6" t="s">
        <v>11</v>
      </c>
    </row>
    <row r="1162" spans="1:8" x14ac:dyDescent="0.25">
      <c r="A1162" s="4" t="s">
        <v>3738</v>
      </c>
      <c r="B1162" s="4" t="s">
        <v>244</v>
      </c>
      <c r="C1162" s="5">
        <v>240</v>
      </c>
      <c r="D1162" s="5">
        <v>135</v>
      </c>
      <c r="F1162" s="4" t="s">
        <v>9</v>
      </c>
      <c r="G1162" s="4" t="s">
        <v>3739</v>
      </c>
      <c r="H1162" s="6" t="s">
        <v>11</v>
      </c>
    </row>
    <row r="1163" spans="1:8" x14ac:dyDescent="0.25">
      <c r="A1163" s="4" t="s">
        <v>3740</v>
      </c>
      <c r="B1163" s="4" t="s">
        <v>244</v>
      </c>
      <c r="C1163" s="5">
        <v>240</v>
      </c>
      <c r="D1163" s="5">
        <v>135</v>
      </c>
      <c r="F1163" s="4" t="s">
        <v>9</v>
      </c>
      <c r="G1163" s="4" t="s">
        <v>3741</v>
      </c>
      <c r="H1163" s="6" t="s">
        <v>11</v>
      </c>
    </row>
    <row r="1164" spans="1:8" x14ac:dyDescent="0.25">
      <c r="A1164" s="4" t="str">
        <f>"MOLETOM PRETO - LOGO VERMELHA (3XG) "</f>
        <v xml:space="preserve">MOLETOM PRETO - LOGO VERMELHA (3XG) </v>
      </c>
      <c r="B1164" s="4" t="s">
        <v>244</v>
      </c>
      <c r="C1164" s="5">
        <v>240</v>
      </c>
      <c r="D1164" s="5">
        <v>139</v>
      </c>
      <c r="F1164" s="4" t="s">
        <v>9</v>
      </c>
      <c r="G1164" s="4" t="s">
        <v>3742</v>
      </c>
      <c r="H1164" s="6" t="s">
        <v>11</v>
      </c>
    </row>
    <row r="1165" spans="1:8" x14ac:dyDescent="0.25">
      <c r="A1165" s="4" t="s">
        <v>3743</v>
      </c>
      <c r="B1165" s="4" t="s">
        <v>244</v>
      </c>
      <c r="C1165" s="5">
        <v>240</v>
      </c>
      <c r="F1165" s="4" t="s">
        <v>9</v>
      </c>
      <c r="G1165" s="4" t="s">
        <v>3744</v>
      </c>
      <c r="H1165" s="6" t="s">
        <v>11</v>
      </c>
    </row>
    <row r="1166" spans="1:8" x14ac:dyDescent="0.25">
      <c r="A1166" s="4" t="s">
        <v>3745</v>
      </c>
      <c r="B1166" s="4" t="s">
        <v>244</v>
      </c>
      <c r="C1166" s="5">
        <v>240</v>
      </c>
      <c r="F1166" s="4" t="s">
        <v>9</v>
      </c>
      <c r="G1166" s="4" t="s">
        <v>3746</v>
      </c>
      <c r="H1166" s="6" t="s">
        <v>11</v>
      </c>
    </row>
    <row r="1167" spans="1:8" x14ac:dyDescent="0.25">
      <c r="A1167" s="4" t="s">
        <v>3747</v>
      </c>
      <c r="B1167" s="4" t="s">
        <v>244</v>
      </c>
      <c r="C1167" s="5">
        <v>240</v>
      </c>
      <c r="F1167" s="4" t="s">
        <v>9</v>
      </c>
      <c r="G1167" s="4" t="s">
        <v>3748</v>
      </c>
      <c r="H1167" s="6" t="s">
        <v>11</v>
      </c>
    </row>
    <row r="1168" spans="1:8" x14ac:dyDescent="0.25">
      <c r="A1168" s="4" t="s">
        <v>3749</v>
      </c>
      <c r="B1168" s="4" t="s">
        <v>244</v>
      </c>
      <c r="C1168" s="5">
        <v>240</v>
      </c>
      <c r="F1168" s="4" t="s">
        <v>9</v>
      </c>
      <c r="G1168" s="4" t="s">
        <v>3750</v>
      </c>
      <c r="H1168" s="6" t="s">
        <v>11</v>
      </c>
    </row>
    <row r="1169" spans="1:8" x14ac:dyDescent="0.25">
      <c r="A1169" s="4" t="s">
        <v>3751</v>
      </c>
      <c r="B1169" s="4" t="s">
        <v>244</v>
      </c>
      <c r="C1169" s="5">
        <v>240</v>
      </c>
      <c r="F1169" s="4" t="s">
        <v>9</v>
      </c>
      <c r="G1169" s="4" t="s">
        <v>3752</v>
      </c>
      <c r="H1169" s="6" t="s">
        <v>11</v>
      </c>
    </row>
    <row r="1170" spans="1:8" x14ac:dyDescent="0.25">
      <c r="A1170" s="4" t="s">
        <v>3753</v>
      </c>
      <c r="B1170" s="4" t="s">
        <v>244</v>
      </c>
      <c r="C1170" s="5">
        <v>240</v>
      </c>
      <c r="F1170" s="4" t="s">
        <v>9</v>
      </c>
      <c r="G1170" s="4" t="s">
        <v>3754</v>
      </c>
      <c r="H1170" s="6" t="s">
        <v>11</v>
      </c>
    </row>
    <row r="1171" spans="1:8" x14ac:dyDescent="0.25">
      <c r="A1171" s="4" t="s">
        <v>3755</v>
      </c>
      <c r="B1171" s="4" t="s">
        <v>244</v>
      </c>
      <c r="C1171" s="5">
        <v>240</v>
      </c>
      <c r="F1171" s="4" t="s">
        <v>9</v>
      </c>
      <c r="G1171" s="4" t="s">
        <v>3756</v>
      </c>
      <c r="H1171" s="6" t="s">
        <v>11</v>
      </c>
    </row>
    <row r="1172" spans="1:8" x14ac:dyDescent="0.25">
      <c r="A1172" s="4" t="s">
        <v>3757</v>
      </c>
      <c r="B1172" s="4" t="s">
        <v>244</v>
      </c>
      <c r="C1172" s="5">
        <v>240</v>
      </c>
      <c r="F1172" s="4" t="s">
        <v>9</v>
      </c>
      <c r="G1172" s="4" t="s">
        <v>3758</v>
      </c>
      <c r="H1172" s="6" t="s">
        <v>11</v>
      </c>
    </row>
    <row r="1173" spans="1:8" x14ac:dyDescent="0.25">
      <c r="A1173" s="4" t="s">
        <v>3759</v>
      </c>
      <c r="B1173" s="4" t="s">
        <v>244</v>
      </c>
      <c r="C1173" s="5">
        <v>240</v>
      </c>
      <c r="F1173" s="4" t="s">
        <v>9</v>
      </c>
      <c r="G1173" s="4" t="s">
        <v>3760</v>
      </c>
      <c r="H1173" s="6" t="s">
        <v>11</v>
      </c>
    </row>
    <row r="1174" spans="1:8" x14ac:dyDescent="0.25">
      <c r="A1174" s="4" t="s">
        <v>3761</v>
      </c>
      <c r="B1174" s="4" t="s">
        <v>244</v>
      </c>
      <c r="C1174" s="5">
        <v>240</v>
      </c>
      <c r="F1174" s="4" t="s">
        <v>9</v>
      </c>
      <c r="G1174" s="4" t="s">
        <v>3762</v>
      </c>
      <c r="H1174" s="6" t="s">
        <v>11</v>
      </c>
    </row>
    <row r="1175" spans="1:8" x14ac:dyDescent="0.25">
      <c r="A1175" s="4" t="s">
        <v>3763</v>
      </c>
      <c r="B1175" s="4" t="s">
        <v>244</v>
      </c>
      <c r="C1175" s="5">
        <v>240</v>
      </c>
      <c r="F1175" s="4" t="s">
        <v>9</v>
      </c>
      <c r="G1175" s="4" t="s">
        <v>3764</v>
      </c>
      <c r="H1175" s="6" t="s">
        <v>11</v>
      </c>
    </row>
    <row r="1176" spans="1:8" x14ac:dyDescent="0.25">
      <c r="A1176" s="4" t="s">
        <v>3765</v>
      </c>
      <c r="B1176" s="4" t="s">
        <v>244</v>
      </c>
      <c r="C1176" s="5">
        <v>240</v>
      </c>
      <c r="F1176" s="4" t="s">
        <v>9</v>
      </c>
      <c r="G1176" s="4" t="s">
        <v>3766</v>
      </c>
      <c r="H1176" s="6" t="s">
        <v>11</v>
      </c>
    </row>
    <row r="1177" spans="1:8" x14ac:dyDescent="0.25">
      <c r="A1177" s="4" t="s">
        <v>3767</v>
      </c>
      <c r="B1177" s="4" t="s">
        <v>244</v>
      </c>
      <c r="C1177" s="5">
        <v>170</v>
      </c>
      <c r="F1177" s="4" t="s">
        <v>9</v>
      </c>
      <c r="G1177" s="4" t="s">
        <v>3768</v>
      </c>
      <c r="H1177" s="6" t="s">
        <v>11</v>
      </c>
    </row>
    <row r="1178" spans="1:8" x14ac:dyDescent="0.25">
      <c r="A1178" s="4" t="s">
        <v>3769</v>
      </c>
      <c r="B1178" s="4" t="s">
        <v>244</v>
      </c>
      <c r="C1178" s="5">
        <v>170</v>
      </c>
      <c r="F1178" s="4" t="s">
        <v>9</v>
      </c>
      <c r="G1178" s="4" t="s">
        <v>3770</v>
      </c>
      <c r="H1178" s="6" t="s">
        <v>11</v>
      </c>
    </row>
    <row r="1179" spans="1:8" x14ac:dyDescent="0.25">
      <c r="A1179" s="4" t="s">
        <v>3771</v>
      </c>
      <c r="B1179" s="4" t="s">
        <v>244</v>
      </c>
      <c r="C1179" s="5">
        <v>170</v>
      </c>
      <c r="F1179" s="4" t="s">
        <v>9</v>
      </c>
      <c r="G1179" s="4" t="s">
        <v>3772</v>
      </c>
      <c r="H1179" s="6" t="s">
        <v>11</v>
      </c>
    </row>
    <row r="1180" spans="1:8" x14ac:dyDescent="0.25">
      <c r="A1180" s="4" t="s">
        <v>3773</v>
      </c>
      <c r="B1180" s="4" t="s">
        <v>244</v>
      </c>
      <c r="C1180" s="5">
        <v>170</v>
      </c>
      <c r="F1180" s="4" t="s">
        <v>9</v>
      </c>
      <c r="G1180" s="4" t="s">
        <v>3774</v>
      </c>
      <c r="H1180" s="6" t="s">
        <v>11</v>
      </c>
    </row>
    <row r="1181" spans="1:8" x14ac:dyDescent="0.25">
      <c r="A1181" s="4" t="str">
        <f>"MOLETOM VERMELHO - LOGO GDE (3XG) "</f>
        <v xml:space="preserve">MOLETOM VERMELHO - LOGO GDE (3XG) </v>
      </c>
      <c r="B1181" s="4" t="s">
        <v>244</v>
      </c>
      <c r="C1181" s="5">
        <v>240</v>
      </c>
      <c r="D1181" s="5">
        <v>139</v>
      </c>
      <c r="F1181" s="4" t="s">
        <v>9</v>
      </c>
      <c r="G1181" s="4" t="s">
        <v>3775</v>
      </c>
      <c r="H1181" s="6" t="s">
        <v>11</v>
      </c>
    </row>
    <row r="1182" spans="1:8" x14ac:dyDescent="0.25">
      <c r="A1182" s="4" t="s">
        <v>3776</v>
      </c>
      <c r="B1182" s="4" t="s">
        <v>244</v>
      </c>
      <c r="C1182" s="5">
        <v>240</v>
      </c>
      <c r="D1182" s="5">
        <v>136.80000000000001</v>
      </c>
      <c r="F1182" s="4" t="s">
        <v>9</v>
      </c>
      <c r="G1182" s="4" t="s">
        <v>3777</v>
      </c>
      <c r="H1182" s="6" t="s">
        <v>11</v>
      </c>
    </row>
    <row r="1183" spans="1:8" x14ac:dyDescent="0.25">
      <c r="A1183" s="4" t="s">
        <v>3778</v>
      </c>
      <c r="B1183" s="4" t="s">
        <v>244</v>
      </c>
      <c r="C1183" s="5">
        <v>240</v>
      </c>
      <c r="D1183" s="5">
        <v>135.80000000000001</v>
      </c>
      <c r="F1183" s="4" t="s">
        <v>9</v>
      </c>
      <c r="G1183" s="4" t="s">
        <v>3779</v>
      </c>
      <c r="H1183" s="6" t="s">
        <v>11</v>
      </c>
    </row>
    <row r="1184" spans="1:8" x14ac:dyDescent="0.25">
      <c r="A1184" s="4" t="s">
        <v>3780</v>
      </c>
      <c r="B1184" s="4" t="s">
        <v>244</v>
      </c>
      <c r="C1184" s="5">
        <v>240</v>
      </c>
      <c r="D1184" s="5">
        <v>135.56</v>
      </c>
      <c r="F1184" s="4" t="s">
        <v>9</v>
      </c>
      <c r="G1184" s="4" t="s">
        <v>3781</v>
      </c>
      <c r="H1184" s="6" t="s">
        <v>11</v>
      </c>
    </row>
    <row r="1185" spans="1:8" x14ac:dyDescent="0.25">
      <c r="A1185" s="4" t="s">
        <v>3782</v>
      </c>
      <c r="B1185" s="4" t="s">
        <v>244</v>
      </c>
      <c r="C1185" s="5">
        <v>240</v>
      </c>
      <c r="D1185" s="5">
        <v>135</v>
      </c>
      <c r="F1185" s="4" t="s">
        <v>9</v>
      </c>
      <c r="G1185" s="4" t="s">
        <v>3783</v>
      </c>
      <c r="H1185" s="6" t="s">
        <v>11</v>
      </c>
    </row>
    <row r="1186" spans="1:8" x14ac:dyDescent="0.25">
      <c r="A1186" s="4" t="s">
        <v>3784</v>
      </c>
      <c r="B1186" s="4" t="s">
        <v>244</v>
      </c>
      <c r="C1186" s="5">
        <v>240</v>
      </c>
      <c r="D1186" s="5">
        <v>135</v>
      </c>
      <c r="F1186" s="4" t="s">
        <v>9</v>
      </c>
      <c r="G1186" s="4" t="s">
        <v>3785</v>
      </c>
      <c r="H1186" s="6" t="s">
        <v>11</v>
      </c>
    </row>
    <row r="1187" spans="1:8" x14ac:dyDescent="0.25">
      <c r="A1187" s="4" t="s">
        <v>3786</v>
      </c>
      <c r="B1187" s="4" t="s">
        <v>244</v>
      </c>
      <c r="C1187" s="5">
        <v>240</v>
      </c>
      <c r="D1187" s="5">
        <v>125</v>
      </c>
      <c r="F1187" s="4" t="s">
        <v>9</v>
      </c>
      <c r="G1187" s="4" t="s">
        <v>3787</v>
      </c>
      <c r="H1187" s="6" t="s">
        <v>11</v>
      </c>
    </row>
    <row r="1188" spans="1:8" x14ac:dyDescent="0.25">
      <c r="A1188" s="4" t="s">
        <v>3788</v>
      </c>
      <c r="B1188" s="4" t="s">
        <v>244</v>
      </c>
      <c r="C1188" s="5">
        <v>240</v>
      </c>
      <c r="F1188" s="4" t="s">
        <v>9</v>
      </c>
      <c r="G1188" s="4" t="s">
        <v>3789</v>
      </c>
      <c r="H1188" s="6" t="s">
        <v>11</v>
      </c>
    </row>
    <row r="1189" spans="1:8" x14ac:dyDescent="0.25">
      <c r="A1189" s="4" t="s">
        <v>3790</v>
      </c>
      <c r="B1189" s="4" t="s">
        <v>244</v>
      </c>
      <c r="C1189" s="5">
        <v>240</v>
      </c>
      <c r="F1189" s="4" t="s">
        <v>9</v>
      </c>
      <c r="G1189" s="4" t="s">
        <v>3791</v>
      </c>
      <c r="H1189" s="6" t="s">
        <v>11</v>
      </c>
    </row>
    <row r="1190" spans="1:8" x14ac:dyDescent="0.25">
      <c r="A1190" s="4" t="s">
        <v>3792</v>
      </c>
      <c r="B1190" s="4" t="s">
        <v>244</v>
      </c>
      <c r="C1190" s="5">
        <v>240</v>
      </c>
      <c r="F1190" s="4" t="s">
        <v>9</v>
      </c>
      <c r="G1190" s="4" t="s">
        <v>3793</v>
      </c>
      <c r="H1190" s="6" t="s">
        <v>11</v>
      </c>
    </row>
    <row r="1191" spans="1:8" x14ac:dyDescent="0.25">
      <c r="A1191" s="4" t="s">
        <v>3794</v>
      </c>
      <c r="B1191" s="4" t="s">
        <v>244</v>
      </c>
      <c r="C1191" s="5">
        <v>240</v>
      </c>
      <c r="F1191" s="4" t="s">
        <v>9</v>
      </c>
      <c r="G1191" s="4" t="s">
        <v>3795</v>
      </c>
      <c r="H1191" s="6" t="s">
        <v>11</v>
      </c>
    </row>
    <row r="1192" spans="1:8" x14ac:dyDescent="0.25">
      <c r="A1192" s="4" t="s">
        <v>3796</v>
      </c>
      <c r="B1192" s="4" t="s">
        <v>244</v>
      </c>
      <c r="C1192" s="5">
        <v>240</v>
      </c>
      <c r="F1192" s="4" t="s">
        <v>9</v>
      </c>
      <c r="G1192" s="4" t="s">
        <v>3797</v>
      </c>
      <c r="H1192" s="6" t="s">
        <v>11</v>
      </c>
    </row>
    <row r="1193" spans="1:8" x14ac:dyDescent="0.25">
      <c r="A1193" s="4" t="s">
        <v>3798</v>
      </c>
      <c r="B1193" s="4" t="s">
        <v>244</v>
      </c>
      <c r="C1193" s="5">
        <v>240</v>
      </c>
      <c r="F1193" s="4" t="s">
        <v>9</v>
      </c>
      <c r="G1193" s="4" t="s">
        <v>3799</v>
      </c>
      <c r="H1193" s="6" t="s">
        <v>11</v>
      </c>
    </row>
    <row r="1194" spans="1:8" x14ac:dyDescent="0.25">
      <c r="A1194" s="4" t="s">
        <v>3905</v>
      </c>
      <c r="B1194" s="4" t="s">
        <v>244</v>
      </c>
      <c r="C1194" s="5">
        <v>65</v>
      </c>
      <c r="F1194" s="4" t="s">
        <v>9</v>
      </c>
      <c r="G1194" s="4" t="s">
        <v>3906</v>
      </c>
      <c r="H1194" s="6" t="s">
        <v>11</v>
      </c>
    </row>
    <row r="1195" spans="1:8" x14ac:dyDescent="0.25">
      <c r="A1195" s="4" t="s">
        <v>3916</v>
      </c>
      <c r="B1195" s="4" t="s">
        <v>244</v>
      </c>
      <c r="C1195" s="5">
        <v>25</v>
      </c>
      <c r="F1195" s="4" t="s">
        <v>9</v>
      </c>
      <c r="G1195" s="4" t="s">
        <v>3917</v>
      </c>
      <c r="H1195" s="6" t="s">
        <v>11</v>
      </c>
    </row>
    <row r="1196" spans="1:8" x14ac:dyDescent="0.25">
      <c r="A1196" s="4" t="s">
        <v>3924</v>
      </c>
      <c r="B1196" s="4" t="s">
        <v>244</v>
      </c>
      <c r="C1196" s="5">
        <v>180</v>
      </c>
      <c r="D1196" s="5">
        <v>98.87</v>
      </c>
      <c r="F1196" s="4" t="s">
        <v>9</v>
      </c>
      <c r="G1196" s="4" t="s">
        <v>3925</v>
      </c>
      <c r="H1196" s="6" t="s">
        <v>11</v>
      </c>
    </row>
    <row r="1197" spans="1:8" x14ac:dyDescent="0.25">
      <c r="A1197" s="4" t="s">
        <v>3928</v>
      </c>
      <c r="B1197" s="4" t="s">
        <v>244</v>
      </c>
      <c r="D1197" s="5">
        <v>10</v>
      </c>
      <c r="F1197" s="4" t="s">
        <v>9</v>
      </c>
      <c r="G1197" s="4" t="s">
        <v>3929</v>
      </c>
      <c r="H1197" s="6" t="s">
        <v>11</v>
      </c>
    </row>
    <row r="1198" spans="1:8" x14ac:dyDescent="0.25">
      <c r="A1198" s="4" t="s">
        <v>4030</v>
      </c>
      <c r="B1198" s="4" t="s">
        <v>244</v>
      </c>
      <c r="C1198" s="5">
        <v>59</v>
      </c>
      <c r="F1198" s="4" t="s">
        <v>9</v>
      </c>
      <c r="G1198" s="4" t="s">
        <v>4031</v>
      </c>
      <c r="H1198" s="6" t="s">
        <v>11</v>
      </c>
    </row>
    <row r="1199" spans="1:8" x14ac:dyDescent="0.25">
      <c r="A1199" s="4" t="s">
        <v>4252</v>
      </c>
      <c r="B1199" s="4" t="s">
        <v>244</v>
      </c>
      <c r="C1199" s="5">
        <v>120</v>
      </c>
      <c r="F1199" s="4" t="s">
        <v>9</v>
      </c>
      <c r="G1199" s="4" t="s">
        <v>4253</v>
      </c>
      <c r="H1199" s="6" t="s">
        <v>11</v>
      </c>
    </row>
    <row r="1200" spans="1:8" x14ac:dyDescent="0.25">
      <c r="A1200" s="4" t="s">
        <v>4413</v>
      </c>
      <c r="B1200" s="4" t="s">
        <v>244</v>
      </c>
      <c r="C1200" s="5">
        <v>4</v>
      </c>
      <c r="F1200" s="4" t="s">
        <v>9</v>
      </c>
      <c r="G1200" s="4" t="s">
        <v>4414</v>
      </c>
      <c r="H1200" s="6" t="s">
        <v>11</v>
      </c>
    </row>
    <row r="1201" spans="1:8" x14ac:dyDescent="0.25">
      <c r="A1201" s="4" t="s">
        <v>4440</v>
      </c>
      <c r="B1201" s="4" t="s">
        <v>244</v>
      </c>
      <c r="C1201" s="5">
        <v>16.899999999999999</v>
      </c>
      <c r="F1201" s="4" t="s">
        <v>9</v>
      </c>
      <c r="G1201" s="4" t="s">
        <v>4441</v>
      </c>
      <c r="H1201" s="6" t="s">
        <v>11</v>
      </c>
    </row>
    <row r="1202" spans="1:8" x14ac:dyDescent="0.25">
      <c r="A1202" s="4" t="s">
        <v>4479</v>
      </c>
      <c r="B1202" s="4" t="s">
        <v>244</v>
      </c>
      <c r="C1202" s="5">
        <v>59</v>
      </c>
      <c r="F1202" s="4" t="s">
        <v>9</v>
      </c>
      <c r="G1202" s="4" t="s">
        <v>4480</v>
      </c>
      <c r="H1202" s="6" t="s">
        <v>11</v>
      </c>
    </row>
    <row r="1203" spans="1:8" x14ac:dyDescent="0.25">
      <c r="A1203" s="4" t="s">
        <v>4587</v>
      </c>
      <c r="B1203" s="4" t="s">
        <v>244</v>
      </c>
      <c r="C1203" s="5">
        <v>75</v>
      </c>
      <c r="F1203" s="4" t="s">
        <v>9</v>
      </c>
      <c r="G1203" s="4" t="s">
        <v>4588</v>
      </c>
      <c r="H1203" s="6" t="s">
        <v>11</v>
      </c>
    </row>
    <row r="1204" spans="1:8" x14ac:dyDescent="0.25">
      <c r="A1204" s="4" t="s">
        <v>4591</v>
      </c>
      <c r="B1204" s="4" t="s">
        <v>244</v>
      </c>
      <c r="C1204" s="5">
        <v>45</v>
      </c>
      <c r="F1204" s="4" t="s">
        <v>9</v>
      </c>
      <c r="G1204" s="4" t="s">
        <v>4592</v>
      </c>
      <c r="H1204" s="6" t="s">
        <v>11</v>
      </c>
    </row>
    <row r="1205" spans="1:8" x14ac:dyDescent="0.25">
      <c r="A1205" s="4" t="s">
        <v>4621</v>
      </c>
      <c r="B1205" s="4" t="s">
        <v>244</v>
      </c>
      <c r="C1205" s="5">
        <v>25</v>
      </c>
      <c r="F1205" s="4" t="s">
        <v>9</v>
      </c>
      <c r="G1205" s="4" t="s">
        <v>4622</v>
      </c>
      <c r="H1205" s="6" t="s">
        <v>11</v>
      </c>
    </row>
    <row r="1206" spans="1:8" x14ac:dyDescent="0.25">
      <c r="A1206" s="4" t="s">
        <v>4662</v>
      </c>
      <c r="B1206" s="4" t="s">
        <v>244</v>
      </c>
      <c r="C1206" s="5">
        <v>160</v>
      </c>
      <c r="D1206" s="5">
        <v>23.27</v>
      </c>
      <c r="F1206" s="4" t="s">
        <v>9</v>
      </c>
      <c r="G1206" s="4" t="s">
        <v>4663</v>
      </c>
      <c r="H1206" s="6" t="s">
        <v>11</v>
      </c>
    </row>
    <row r="1207" spans="1:8" x14ac:dyDescent="0.25">
      <c r="A1207" s="4" t="s">
        <v>4664</v>
      </c>
      <c r="B1207" s="4" t="s">
        <v>244</v>
      </c>
      <c r="C1207" s="5">
        <v>160</v>
      </c>
      <c r="D1207" s="5">
        <v>22.24</v>
      </c>
      <c r="F1207" s="4" t="s">
        <v>9</v>
      </c>
      <c r="G1207" s="4" t="s">
        <v>4665</v>
      </c>
      <c r="H1207" s="6" t="s">
        <v>11</v>
      </c>
    </row>
    <row r="1208" spans="1:8" x14ac:dyDescent="0.25">
      <c r="A1208" s="4" t="s">
        <v>4666</v>
      </c>
      <c r="B1208" s="4" t="s">
        <v>244</v>
      </c>
      <c r="C1208" s="5">
        <v>80</v>
      </c>
      <c r="D1208" s="5">
        <v>22.24</v>
      </c>
      <c r="F1208" s="4" t="s">
        <v>9</v>
      </c>
      <c r="G1208" s="4" t="s">
        <v>4667</v>
      </c>
      <c r="H1208" s="6" t="s">
        <v>11</v>
      </c>
    </row>
    <row r="1209" spans="1:8" x14ac:dyDescent="0.25">
      <c r="A1209" s="4" t="s">
        <v>4699</v>
      </c>
      <c r="B1209" s="4" t="s">
        <v>244</v>
      </c>
      <c r="C1209" s="5">
        <v>19</v>
      </c>
      <c r="F1209" s="4" t="s">
        <v>9</v>
      </c>
      <c r="G1209" s="4" t="s">
        <v>4700</v>
      </c>
      <c r="H1209" s="6" t="s">
        <v>11</v>
      </c>
    </row>
    <row r="1210" spans="1:8" x14ac:dyDescent="0.25">
      <c r="A1210" s="4" t="s">
        <v>4701</v>
      </c>
      <c r="B1210" s="4" t="s">
        <v>244</v>
      </c>
      <c r="C1210" s="5">
        <v>75</v>
      </c>
      <c r="F1210" s="4" t="s">
        <v>9</v>
      </c>
      <c r="G1210" s="4" t="s">
        <v>4702</v>
      </c>
      <c r="H1210" s="6" t="s">
        <v>11</v>
      </c>
    </row>
    <row r="1211" spans="1:8" x14ac:dyDescent="0.25">
      <c r="A1211" s="4" t="s">
        <v>4711</v>
      </c>
      <c r="B1211" s="4" t="s">
        <v>244</v>
      </c>
      <c r="C1211" s="5">
        <v>100</v>
      </c>
      <c r="F1211" s="4" t="s">
        <v>9</v>
      </c>
      <c r="G1211" s="4" t="s">
        <v>4712</v>
      </c>
      <c r="H1211" s="6" t="s">
        <v>11</v>
      </c>
    </row>
    <row r="1212" spans="1:8" x14ac:dyDescent="0.25">
      <c r="A1212" s="4" t="s">
        <v>4713</v>
      </c>
      <c r="B1212" s="4" t="s">
        <v>244</v>
      </c>
      <c r="C1212" s="5">
        <v>50</v>
      </c>
      <c r="F1212" s="4" t="s">
        <v>9</v>
      </c>
      <c r="G1212" s="4" t="s">
        <v>4714</v>
      </c>
      <c r="H1212" s="6" t="s">
        <v>11</v>
      </c>
    </row>
    <row r="1213" spans="1:8" x14ac:dyDescent="0.25">
      <c r="A1213" s="4" t="s">
        <v>4913</v>
      </c>
      <c r="B1213" s="4" t="s">
        <v>244</v>
      </c>
      <c r="C1213" s="5">
        <v>28.9</v>
      </c>
      <c r="F1213" s="4" t="s">
        <v>9</v>
      </c>
      <c r="G1213" s="4" t="s">
        <v>4914</v>
      </c>
      <c r="H1213" s="6" t="s">
        <v>11</v>
      </c>
    </row>
    <row r="1214" spans="1:8" x14ac:dyDescent="0.25">
      <c r="A1214" s="4" t="s">
        <v>4917</v>
      </c>
      <c r="B1214" s="4" t="s">
        <v>244</v>
      </c>
      <c r="C1214" s="5">
        <v>28.9</v>
      </c>
      <c r="F1214" s="4" t="s">
        <v>9</v>
      </c>
      <c r="G1214" s="4" t="s">
        <v>4918</v>
      </c>
      <c r="H1214" s="6" t="s">
        <v>11</v>
      </c>
    </row>
    <row r="1215" spans="1:8" x14ac:dyDescent="0.25">
      <c r="A1215" s="4" t="s">
        <v>4921</v>
      </c>
      <c r="B1215" s="4" t="s">
        <v>244</v>
      </c>
      <c r="C1215" s="5">
        <v>24.9</v>
      </c>
      <c r="F1215" s="4" t="s">
        <v>9</v>
      </c>
      <c r="G1215" s="4" t="s">
        <v>4922</v>
      </c>
      <c r="H1215" s="6" t="s">
        <v>11</v>
      </c>
    </row>
    <row r="1216" spans="1:8" x14ac:dyDescent="0.25">
      <c r="A1216" s="4" t="str">
        <f>"XP 085 - SOUR LARANJA E LIMÃO LATA 473ML "</f>
        <v xml:space="preserve">XP 085 - SOUR LARANJA E LIMÃO LATA 473ML </v>
      </c>
      <c r="B1216" s="4" t="s">
        <v>244</v>
      </c>
      <c r="C1216" s="5">
        <v>24.9</v>
      </c>
      <c r="D1216" s="5">
        <v>20.89</v>
      </c>
      <c r="F1216" s="4" t="s">
        <v>9</v>
      </c>
      <c r="G1216" s="4" t="s">
        <v>4923</v>
      </c>
      <c r="H1216" s="6" t="s">
        <v>11</v>
      </c>
    </row>
    <row r="1217" spans="1:8" x14ac:dyDescent="0.25">
      <c r="A1217" s="4" t="s">
        <v>4925</v>
      </c>
      <c r="B1217" s="4" t="s">
        <v>244</v>
      </c>
      <c r="C1217" s="5">
        <v>24.9</v>
      </c>
      <c r="D1217" s="5">
        <v>15.7</v>
      </c>
      <c r="F1217" s="4" t="s">
        <v>9</v>
      </c>
      <c r="G1217" s="4" t="s">
        <v>4926</v>
      </c>
      <c r="H1217" s="6" t="s">
        <v>11</v>
      </c>
    </row>
    <row r="1218" spans="1:8" x14ac:dyDescent="0.25">
      <c r="A1218" s="4" t="str">
        <f>"XP 089 - APABALA- 473ML "</f>
        <v xml:space="preserve">XP 089 - APABALA- 473ML </v>
      </c>
      <c r="B1218" s="4" t="s">
        <v>244</v>
      </c>
      <c r="C1218" s="5">
        <v>24.9</v>
      </c>
      <c r="D1218" s="5">
        <v>15.7</v>
      </c>
      <c r="F1218" s="4" t="s">
        <v>9</v>
      </c>
      <c r="G1218" s="4" t="s">
        <v>4929</v>
      </c>
      <c r="H1218" s="6" t="s">
        <v>11</v>
      </c>
    </row>
    <row r="1219" spans="1:8" x14ac:dyDescent="0.25">
      <c r="A1219" s="4" t="s">
        <v>4931</v>
      </c>
      <c r="B1219" s="4" t="s">
        <v>244</v>
      </c>
      <c r="C1219" s="5">
        <v>24.9</v>
      </c>
      <c r="D1219" s="5">
        <v>15</v>
      </c>
      <c r="F1219" s="4" t="s">
        <v>9</v>
      </c>
      <c r="G1219" s="4" t="s">
        <v>4932</v>
      </c>
      <c r="H1219" s="6" t="s">
        <v>11</v>
      </c>
    </row>
    <row r="1220" spans="1:8" x14ac:dyDescent="0.25">
      <c r="A1220" s="4" t="s">
        <v>4934</v>
      </c>
      <c r="B1220" s="4" t="s">
        <v>244</v>
      </c>
      <c r="C1220" s="5">
        <v>28.9</v>
      </c>
      <c r="D1220" s="5">
        <v>22.89</v>
      </c>
      <c r="F1220" s="4" t="s">
        <v>9</v>
      </c>
      <c r="G1220" s="4" t="s">
        <v>4935</v>
      </c>
      <c r="H1220" s="6" t="s">
        <v>11</v>
      </c>
    </row>
    <row r="1221" spans="1:8" x14ac:dyDescent="0.25">
      <c r="A1221" s="4" t="str">
        <f>"XP 095 BROWN IPA LATA 473ML "</f>
        <v xml:space="preserve">XP 095 BROWN IPA LATA 473ML </v>
      </c>
      <c r="B1221" s="4" t="s">
        <v>244</v>
      </c>
      <c r="C1221" s="5">
        <v>28.9</v>
      </c>
      <c r="D1221" s="5">
        <v>14.1</v>
      </c>
      <c r="F1221" s="4" t="s">
        <v>9</v>
      </c>
      <c r="G1221" s="4" t="s">
        <v>4936</v>
      </c>
      <c r="H1221" s="6" t="s">
        <v>11</v>
      </c>
    </row>
    <row r="1222" spans="1:8" x14ac:dyDescent="0.25">
      <c r="A1222" s="4" t="str">
        <f>"ADOCANTE - ESTOQUE "</f>
        <v xml:space="preserve">ADOCANTE - ESTOQUE </v>
      </c>
      <c r="B1222" s="4" t="s">
        <v>75</v>
      </c>
      <c r="F1222" s="4" t="s">
        <v>9</v>
      </c>
      <c r="G1222" s="4" t="s">
        <v>76</v>
      </c>
      <c r="H1222" s="6" t="s">
        <v>11</v>
      </c>
    </row>
    <row r="1223" spans="1:8" x14ac:dyDescent="0.25">
      <c r="A1223" s="4" t="s">
        <v>90</v>
      </c>
      <c r="B1223" s="4" t="s">
        <v>75</v>
      </c>
      <c r="C1223" s="5">
        <v>2.52</v>
      </c>
      <c r="D1223" s="5">
        <v>1.26</v>
      </c>
      <c r="F1223" s="4" t="s">
        <v>9</v>
      </c>
      <c r="G1223" s="4" t="s">
        <v>91</v>
      </c>
      <c r="H1223" s="6" t="s">
        <v>11</v>
      </c>
    </row>
    <row r="1224" spans="1:8" x14ac:dyDescent="0.25">
      <c r="A1224" s="4" t="s">
        <v>120</v>
      </c>
      <c r="B1224" s="4" t="s">
        <v>75</v>
      </c>
      <c r="F1224" s="4" t="s">
        <v>9</v>
      </c>
      <c r="G1224" s="4" t="s">
        <v>121</v>
      </c>
      <c r="H1224" s="6" t="s">
        <v>11</v>
      </c>
    </row>
    <row r="1225" spans="1:8" x14ac:dyDescent="0.25">
      <c r="A1225" s="4" t="s">
        <v>191</v>
      </c>
      <c r="B1225" s="4" t="s">
        <v>75</v>
      </c>
      <c r="F1225" s="4" t="s">
        <v>9</v>
      </c>
      <c r="G1225" s="4" t="s">
        <v>192</v>
      </c>
      <c r="H1225" s="6" t="s">
        <v>11</v>
      </c>
    </row>
    <row r="1226" spans="1:8" x14ac:dyDescent="0.25">
      <c r="A1226" s="4" t="s">
        <v>207</v>
      </c>
      <c r="B1226" s="4" t="s">
        <v>75</v>
      </c>
      <c r="D1226" s="5">
        <v>2.23</v>
      </c>
      <c r="E1226" s="5">
        <v>2</v>
      </c>
      <c r="F1226" s="4" t="s">
        <v>9</v>
      </c>
      <c r="G1226" s="4" t="s">
        <v>208</v>
      </c>
      <c r="H1226" s="6" t="s">
        <v>11</v>
      </c>
    </row>
    <row r="1227" spans="1:8" x14ac:dyDescent="0.25">
      <c r="A1227" s="4" t="s">
        <v>235</v>
      </c>
      <c r="B1227" s="4" t="s">
        <v>75</v>
      </c>
      <c r="F1227" s="4" t="s">
        <v>9</v>
      </c>
      <c r="G1227" s="4" t="s">
        <v>236</v>
      </c>
      <c r="H1227" s="6" t="s">
        <v>11</v>
      </c>
    </row>
    <row r="1228" spans="1:8" x14ac:dyDescent="0.25">
      <c r="A1228" s="4" t="s">
        <v>263</v>
      </c>
      <c r="B1228" s="4" t="s">
        <v>75</v>
      </c>
      <c r="D1228" s="5">
        <v>11.83</v>
      </c>
      <c r="F1228" s="4" t="s">
        <v>35</v>
      </c>
      <c r="G1228" s="4" t="s">
        <v>264</v>
      </c>
      <c r="H1228" s="6" t="s">
        <v>11</v>
      </c>
    </row>
    <row r="1229" spans="1:8" x14ac:dyDescent="0.25">
      <c r="A1229" s="4" t="s">
        <v>333</v>
      </c>
      <c r="B1229" s="4" t="s">
        <v>75</v>
      </c>
      <c r="F1229" s="4" t="s">
        <v>9</v>
      </c>
      <c r="G1229" s="4" t="s">
        <v>334</v>
      </c>
      <c r="H1229" s="6" t="s">
        <v>11</v>
      </c>
    </row>
    <row r="1230" spans="1:8" x14ac:dyDescent="0.25">
      <c r="A1230" s="4" t="str">
        <f>"BOWL- ESTOQUE TAP "</f>
        <v xml:space="preserve">BOWL- ESTOQUE TAP </v>
      </c>
      <c r="B1230" s="4" t="s">
        <v>75</v>
      </c>
      <c r="F1230" s="4" t="s">
        <v>9</v>
      </c>
      <c r="G1230" s="4" t="s">
        <v>386</v>
      </c>
      <c r="H1230" s="6" t="s">
        <v>11</v>
      </c>
    </row>
    <row r="1231" spans="1:8" x14ac:dyDescent="0.25">
      <c r="A1231" s="4" t="s">
        <v>413</v>
      </c>
      <c r="B1231" s="4" t="s">
        <v>75</v>
      </c>
      <c r="D1231" s="5">
        <v>23.36</v>
      </c>
      <c r="F1231" s="4" t="s">
        <v>9</v>
      </c>
      <c r="G1231" s="4" t="s">
        <v>414</v>
      </c>
      <c r="H1231" s="6" t="s">
        <v>11</v>
      </c>
    </row>
    <row r="1232" spans="1:8" x14ac:dyDescent="0.25">
      <c r="A1232" s="4" t="s">
        <v>455</v>
      </c>
      <c r="B1232" s="4" t="s">
        <v>75</v>
      </c>
      <c r="D1232" s="5">
        <v>30.9</v>
      </c>
      <c r="F1232" s="4" t="s">
        <v>35</v>
      </c>
      <c r="G1232" s="4" t="s">
        <v>456</v>
      </c>
      <c r="H1232" s="6" t="s">
        <v>11</v>
      </c>
    </row>
    <row r="1233" spans="1:8" x14ac:dyDescent="0.25">
      <c r="A1233" s="4" t="s">
        <v>471</v>
      </c>
      <c r="B1233" s="4" t="s">
        <v>75</v>
      </c>
      <c r="F1233" s="4" t="s">
        <v>9</v>
      </c>
      <c r="G1233" s="4" t="s">
        <v>472</v>
      </c>
      <c r="H1233" s="6" t="s">
        <v>11</v>
      </c>
    </row>
    <row r="1234" spans="1:8" x14ac:dyDescent="0.25">
      <c r="A1234" s="4" t="s">
        <v>656</v>
      </c>
      <c r="B1234" s="4" t="s">
        <v>75</v>
      </c>
      <c r="F1234" s="4" t="s">
        <v>9</v>
      </c>
      <c r="G1234" s="4" t="s">
        <v>657</v>
      </c>
      <c r="H1234" s="6" t="s">
        <v>11</v>
      </c>
    </row>
    <row r="1235" spans="1:8" x14ac:dyDescent="0.25">
      <c r="A1235" s="4" t="s">
        <v>658</v>
      </c>
      <c r="B1235" s="4" t="s">
        <v>75</v>
      </c>
      <c r="F1235" s="4" t="s">
        <v>9</v>
      </c>
      <c r="G1235" s="4" t="s">
        <v>659</v>
      </c>
      <c r="H1235" s="6" t="s">
        <v>11</v>
      </c>
    </row>
    <row r="1236" spans="1:8" x14ac:dyDescent="0.25">
      <c r="A1236" s="4" t="s">
        <v>660</v>
      </c>
      <c r="B1236" s="4" t="s">
        <v>75</v>
      </c>
      <c r="F1236" s="4" t="s">
        <v>66</v>
      </c>
      <c r="G1236" s="4" t="s">
        <v>661</v>
      </c>
      <c r="H1236" s="6" t="s">
        <v>11</v>
      </c>
    </row>
    <row r="1237" spans="1:8" x14ac:dyDescent="0.25">
      <c r="A1237" s="4" t="s">
        <v>2298</v>
      </c>
      <c r="B1237" s="4" t="s">
        <v>75</v>
      </c>
      <c r="F1237" s="4" t="s">
        <v>9</v>
      </c>
      <c r="G1237" s="4" t="s">
        <v>2299</v>
      </c>
      <c r="H1237" s="6" t="s">
        <v>11</v>
      </c>
    </row>
    <row r="1238" spans="1:8" x14ac:dyDescent="0.25">
      <c r="A1238" s="4" t="s">
        <v>2303</v>
      </c>
      <c r="B1238" s="4" t="s">
        <v>75</v>
      </c>
      <c r="F1238" s="4" t="s">
        <v>9</v>
      </c>
      <c r="G1238" s="4" t="s">
        <v>2304</v>
      </c>
      <c r="H1238" s="6" t="s">
        <v>11</v>
      </c>
    </row>
    <row r="1239" spans="1:8" x14ac:dyDescent="0.25">
      <c r="A1239" s="4" t="s">
        <v>2305</v>
      </c>
      <c r="B1239" s="4" t="s">
        <v>75</v>
      </c>
      <c r="F1239" s="4" t="s">
        <v>9</v>
      </c>
      <c r="G1239" s="4" t="s">
        <v>2306</v>
      </c>
      <c r="H1239" s="6" t="s">
        <v>11</v>
      </c>
    </row>
    <row r="1240" spans="1:8" x14ac:dyDescent="0.25">
      <c r="A1240" s="4" t="s">
        <v>2307</v>
      </c>
      <c r="B1240" s="4" t="s">
        <v>75</v>
      </c>
      <c r="F1240" s="4" t="s">
        <v>9</v>
      </c>
      <c r="G1240" s="4" t="s">
        <v>2308</v>
      </c>
      <c r="H1240" s="6" t="s">
        <v>11</v>
      </c>
    </row>
    <row r="1241" spans="1:8" x14ac:dyDescent="0.25">
      <c r="A1241" s="4" t="str">
        <f>"CONTENTOR "</f>
        <v xml:space="preserve">CONTENTOR </v>
      </c>
      <c r="B1241" s="4" t="s">
        <v>75</v>
      </c>
      <c r="F1241" s="4" t="s">
        <v>9</v>
      </c>
      <c r="G1241" s="4" t="s">
        <v>2324</v>
      </c>
      <c r="H1241" s="6" t="s">
        <v>11</v>
      </c>
    </row>
    <row r="1242" spans="1:8" x14ac:dyDescent="0.25">
      <c r="A1242" s="4" t="s">
        <v>2337</v>
      </c>
      <c r="B1242" s="4" t="s">
        <v>75</v>
      </c>
      <c r="F1242" s="4" t="s">
        <v>9</v>
      </c>
      <c r="G1242" s="4" t="s">
        <v>2338</v>
      </c>
      <c r="H1242" s="6" t="s">
        <v>11</v>
      </c>
    </row>
    <row r="1243" spans="1:8" x14ac:dyDescent="0.25">
      <c r="A1243" s="4" t="str">
        <f>"COPO AMERICANO  (BAR) "</f>
        <v xml:space="preserve">COPO AMERICANO  (BAR) </v>
      </c>
      <c r="B1243" s="4" t="s">
        <v>75</v>
      </c>
      <c r="F1243" s="4" t="s">
        <v>9</v>
      </c>
      <c r="G1243" s="4" t="s">
        <v>2339</v>
      </c>
      <c r="H1243" s="6" t="s">
        <v>11</v>
      </c>
    </row>
    <row r="1244" spans="1:8" x14ac:dyDescent="0.25">
      <c r="A1244" s="4" t="s">
        <v>2340</v>
      </c>
      <c r="B1244" s="4" t="s">
        <v>75</v>
      </c>
      <c r="F1244" s="4" t="s">
        <v>9</v>
      </c>
      <c r="G1244" s="4" t="s">
        <v>2341</v>
      </c>
      <c r="H1244" s="6" t="s">
        <v>11</v>
      </c>
    </row>
    <row r="1245" spans="1:8" x14ac:dyDescent="0.25">
      <c r="A1245" s="4" t="s">
        <v>2349</v>
      </c>
      <c r="B1245" s="4" t="s">
        <v>75</v>
      </c>
      <c r="F1245" s="4" t="s">
        <v>9</v>
      </c>
      <c r="G1245" s="4" t="s">
        <v>2350</v>
      </c>
      <c r="H1245" s="6" t="s">
        <v>11</v>
      </c>
    </row>
    <row r="1246" spans="1:8" x14ac:dyDescent="0.25">
      <c r="A1246" s="4" t="s">
        <v>2359</v>
      </c>
      <c r="B1246" s="4" t="s">
        <v>75</v>
      </c>
      <c r="F1246" s="4" t="s">
        <v>9</v>
      </c>
      <c r="G1246" s="4" t="s">
        <v>2360</v>
      </c>
      <c r="H1246" s="6" t="s">
        <v>11</v>
      </c>
    </row>
    <row r="1247" spans="1:8" x14ac:dyDescent="0.25">
      <c r="A1247" s="4" t="s">
        <v>2362</v>
      </c>
      <c r="B1247" s="4" t="s">
        <v>75</v>
      </c>
      <c r="F1247" s="4" t="s">
        <v>9</v>
      </c>
      <c r="G1247" s="4" t="s">
        <v>2363</v>
      </c>
      <c r="H1247" s="6" t="s">
        <v>11</v>
      </c>
    </row>
    <row r="1248" spans="1:8" x14ac:dyDescent="0.25">
      <c r="A1248" s="4" t="s">
        <v>2366</v>
      </c>
      <c r="B1248" s="4" t="s">
        <v>75</v>
      </c>
      <c r="F1248" s="4" t="s">
        <v>9</v>
      </c>
      <c r="G1248" s="4" t="s">
        <v>2367</v>
      </c>
      <c r="H1248" s="6" t="s">
        <v>11</v>
      </c>
    </row>
    <row r="1249" spans="1:8" x14ac:dyDescent="0.25">
      <c r="A1249" s="4" t="s">
        <v>2372</v>
      </c>
      <c r="B1249" s="4" t="s">
        <v>75</v>
      </c>
      <c r="F1249" s="4" t="s">
        <v>9</v>
      </c>
      <c r="G1249" s="4" t="s">
        <v>2373</v>
      </c>
      <c r="H1249" s="6" t="s">
        <v>11</v>
      </c>
    </row>
    <row r="1250" spans="1:8" x14ac:dyDescent="0.25">
      <c r="A1250" s="4" t="str">
        <f>"COPO LYON (BAR) - ESTOQUE TAP "</f>
        <v xml:space="preserve">COPO LYON (BAR) - ESTOQUE TAP </v>
      </c>
      <c r="B1250" s="4" t="s">
        <v>75</v>
      </c>
      <c r="F1250" s="4" t="s">
        <v>9</v>
      </c>
      <c r="G1250" s="4" t="s">
        <v>2374</v>
      </c>
      <c r="H1250" s="6" t="s">
        <v>11</v>
      </c>
    </row>
    <row r="1251" spans="1:8" x14ac:dyDescent="0.25">
      <c r="A1251" s="4" t="s">
        <v>2377</v>
      </c>
      <c r="B1251" s="4" t="s">
        <v>75</v>
      </c>
      <c r="F1251" s="4" t="s">
        <v>9</v>
      </c>
      <c r="G1251" s="4" t="s">
        <v>2378</v>
      </c>
      <c r="H1251" s="6" t="s">
        <v>11</v>
      </c>
    </row>
    <row r="1252" spans="1:8" x14ac:dyDescent="0.25">
      <c r="A1252" s="4" t="s">
        <v>2383</v>
      </c>
      <c r="B1252" s="4" t="s">
        <v>75</v>
      </c>
      <c r="F1252" s="4" t="s">
        <v>2384</v>
      </c>
      <c r="G1252" s="4" t="s">
        <v>2385</v>
      </c>
      <c r="H1252" s="6" t="s">
        <v>11</v>
      </c>
    </row>
    <row r="1253" spans="1:8" x14ac:dyDescent="0.25">
      <c r="A1253" s="4" t="s">
        <v>2388</v>
      </c>
      <c r="B1253" s="4" t="s">
        <v>75</v>
      </c>
      <c r="C1253" s="5">
        <v>0.25</v>
      </c>
      <c r="F1253" s="4" t="s">
        <v>66</v>
      </c>
      <c r="G1253" s="4" t="s">
        <v>2389</v>
      </c>
      <c r="H1253" s="6" t="s">
        <v>11</v>
      </c>
    </row>
    <row r="1254" spans="1:8" x14ac:dyDescent="0.25">
      <c r="A1254" s="4" t="str">
        <f>"COPO STOUT 473ml - ESTOQUE TAP "</f>
        <v xml:space="preserve">COPO STOUT 473ml - ESTOQUE TAP </v>
      </c>
      <c r="B1254" s="4" t="s">
        <v>75</v>
      </c>
      <c r="F1254" s="4" t="s">
        <v>9</v>
      </c>
      <c r="G1254" s="4" t="s">
        <v>2390</v>
      </c>
      <c r="H1254" s="6" t="s">
        <v>11</v>
      </c>
    </row>
    <row r="1255" spans="1:8" x14ac:dyDescent="0.25">
      <c r="A1255" s="4" t="s">
        <v>2395</v>
      </c>
      <c r="B1255" s="4" t="s">
        <v>75</v>
      </c>
      <c r="F1255" s="4" t="s">
        <v>9</v>
      </c>
      <c r="G1255" s="4" t="s">
        <v>2396</v>
      </c>
      <c r="H1255" s="6" t="s">
        <v>11</v>
      </c>
    </row>
    <row r="1256" spans="1:8" x14ac:dyDescent="0.25">
      <c r="A1256" s="4" t="s">
        <v>2397</v>
      </c>
      <c r="B1256" s="4" t="s">
        <v>75</v>
      </c>
      <c r="F1256" s="4" t="s">
        <v>9</v>
      </c>
      <c r="G1256" s="4" t="s">
        <v>2398</v>
      </c>
      <c r="H1256" s="6" t="s">
        <v>11</v>
      </c>
    </row>
    <row r="1257" spans="1:8" x14ac:dyDescent="0.25">
      <c r="A1257" s="4" t="s">
        <v>2401</v>
      </c>
      <c r="B1257" s="4" t="s">
        <v>75</v>
      </c>
      <c r="F1257" s="4" t="s">
        <v>9</v>
      </c>
      <c r="G1257" s="4" t="s">
        <v>2402</v>
      </c>
      <c r="H1257" s="6" t="s">
        <v>11</v>
      </c>
    </row>
    <row r="1258" spans="1:8" x14ac:dyDescent="0.25">
      <c r="A1258" s="4" t="s">
        <v>2859</v>
      </c>
      <c r="B1258" s="4" t="s">
        <v>75</v>
      </c>
      <c r="F1258" s="4" t="s">
        <v>66</v>
      </c>
      <c r="G1258" s="4" t="s">
        <v>2860</v>
      </c>
      <c r="H1258" s="6" t="s">
        <v>11</v>
      </c>
    </row>
    <row r="1259" spans="1:8" x14ac:dyDescent="0.25">
      <c r="A1259" s="4" t="str">
        <f>"EMBALAGEM YG38 BLACK - ESTOQUE TAP "</f>
        <v xml:space="preserve">EMBALAGEM YG38 BLACK - ESTOQUE TAP </v>
      </c>
      <c r="B1259" s="4" t="s">
        <v>75</v>
      </c>
      <c r="F1259" s="4" t="s">
        <v>66</v>
      </c>
      <c r="G1259" s="4" t="s">
        <v>2861</v>
      </c>
      <c r="H1259" s="6" t="s">
        <v>11</v>
      </c>
    </row>
    <row r="1260" spans="1:8" x14ac:dyDescent="0.25">
      <c r="A1260" s="4" t="str">
        <f>"EMBALAGEM YG50 2D BLACK - ESTOQUE TAP "</f>
        <v xml:space="preserve">EMBALAGEM YG50 2D BLACK - ESTOQUE TAP </v>
      </c>
      <c r="B1260" s="4" t="s">
        <v>75</v>
      </c>
      <c r="F1260" s="4" t="s">
        <v>66</v>
      </c>
      <c r="G1260" s="4" t="s">
        <v>2862</v>
      </c>
      <c r="H1260" s="6" t="s">
        <v>11</v>
      </c>
    </row>
    <row r="1261" spans="1:8" x14ac:dyDescent="0.25">
      <c r="A1261" s="4" t="str">
        <f>"EMBALAGEM YL35  3 DIVISORIAS BLACK - ESTOQUE TAP "</f>
        <v xml:space="preserve">EMBALAGEM YL35  3 DIVISORIAS BLACK - ESTOQUE TAP </v>
      </c>
      <c r="B1261" s="4" t="s">
        <v>75</v>
      </c>
      <c r="F1261" s="4" t="s">
        <v>66</v>
      </c>
      <c r="G1261" s="4" t="s">
        <v>2863</v>
      </c>
      <c r="H1261" s="6" t="s">
        <v>11</v>
      </c>
    </row>
    <row r="1262" spans="1:8" x14ac:dyDescent="0.25">
      <c r="A1262" s="4" t="str">
        <f>"EMBALAGEM YM35 4 DIVISORIAS BLACK - ESTOQUE TAP "</f>
        <v xml:space="preserve">EMBALAGEM YM35 4 DIVISORIAS BLACK - ESTOQUE TAP </v>
      </c>
      <c r="B1262" s="4" t="s">
        <v>75</v>
      </c>
      <c r="F1262" s="4" t="s">
        <v>66</v>
      </c>
      <c r="G1262" s="4" t="s">
        <v>2864</v>
      </c>
      <c r="H1262" s="6" t="s">
        <v>11</v>
      </c>
    </row>
    <row r="1263" spans="1:8" x14ac:dyDescent="0.25">
      <c r="A1263" s="4" t="str">
        <f>"EMBALAGEM YM50 BLACK - ESTOQUE TAP "</f>
        <v xml:space="preserve">EMBALAGEM YM50 BLACK - ESTOQUE TAP </v>
      </c>
      <c r="B1263" s="4" t="s">
        <v>75</v>
      </c>
      <c r="F1263" s="4" t="s">
        <v>66</v>
      </c>
      <c r="G1263" s="4" t="s">
        <v>2865</v>
      </c>
      <c r="H1263" s="6" t="s">
        <v>11</v>
      </c>
    </row>
    <row r="1264" spans="1:8" x14ac:dyDescent="0.25">
      <c r="A1264" s="4" t="s">
        <v>2896</v>
      </c>
      <c r="B1264" s="4" t="s">
        <v>75</v>
      </c>
      <c r="F1264" s="4" t="s">
        <v>9</v>
      </c>
      <c r="G1264" s="4" t="s">
        <v>2897</v>
      </c>
      <c r="H1264" s="6" t="s">
        <v>11</v>
      </c>
    </row>
    <row r="1265" spans="1:8" x14ac:dyDescent="0.25">
      <c r="A1265" s="4" t="s">
        <v>2935</v>
      </c>
      <c r="B1265" s="4" t="s">
        <v>75</v>
      </c>
      <c r="F1265" s="4" t="s">
        <v>9</v>
      </c>
      <c r="G1265" s="4" t="s">
        <v>2936</v>
      </c>
      <c r="H1265" s="6" t="s">
        <v>11</v>
      </c>
    </row>
    <row r="1266" spans="1:8" x14ac:dyDescent="0.25">
      <c r="A1266" s="4" t="s">
        <v>2999</v>
      </c>
      <c r="B1266" s="4" t="s">
        <v>75</v>
      </c>
      <c r="F1266" s="4" t="s">
        <v>9</v>
      </c>
      <c r="G1266" s="4" t="s">
        <v>3000</v>
      </c>
      <c r="H1266" s="6" t="s">
        <v>11</v>
      </c>
    </row>
    <row r="1267" spans="1:8" x14ac:dyDescent="0.25">
      <c r="A1267" s="4" t="s">
        <v>3003</v>
      </c>
      <c r="B1267" s="4" t="s">
        <v>75</v>
      </c>
      <c r="F1267" s="4" t="s">
        <v>9</v>
      </c>
      <c r="G1267" s="4" t="s">
        <v>3004</v>
      </c>
      <c r="H1267" s="6" t="s">
        <v>11</v>
      </c>
    </row>
    <row r="1268" spans="1:8" x14ac:dyDescent="0.25">
      <c r="A1268" s="4" t="s">
        <v>3005</v>
      </c>
      <c r="B1268" s="4" t="s">
        <v>75</v>
      </c>
      <c r="D1268" s="5">
        <v>0.34</v>
      </c>
      <c r="E1268" s="5">
        <v>1</v>
      </c>
      <c r="F1268" s="4" t="s">
        <v>9</v>
      </c>
      <c r="G1268" s="4" t="s">
        <v>3006</v>
      </c>
      <c r="H1268" s="6" t="s">
        <v>11</v>
      </c>
    </row>
    <row r="1269" spans="1:8" x14ac:dyDescent="0.25">
      <c r="A1269" s="4" t="str">
        <f>"FILTRO DE AGUA "</f>
        <v xml:space="preserve">FILTRO DE AGUA </v>
      </c>
      <c r="B1269" s="4" t="s">
        <v>75</v>
      </c>
      <c r="F1269" s="4" t="s">
        <v>9</v>
      </c>
      <c r="G1269" s="4" t="s">
        <v>3007</v>
      </c>
      <c r="H1269" s="6" t="s">
        <v>11</v>
      </c>
    </row>
    <row r="1270" spans="1:8" x14ac:dyDescent="0.25">
      <c r="A1270" s="4" t="s">
        <v>3015</v>
      </c>
      <c r="B1270" s="4" t="s">
        <v>75</v>
      </c>
      <c r="F1270" s="4" t="s">
        <v>9</v>
      </c>
      <c r="G1270" s="4" t="s">
        <v>3016</v>
      </c>
      <c r="H1270" s="6" t="s">
        <v>11</v>
      </c>
    </row>
    <row r="1271" spans="1:8" x14ac:dyDescent="0.25">
      <c r="A1271" s="4" t="s">
        <v>3017</v>
      </c>
      <c r="B1271" s="4" t="s">
        <v>75</v>
      </c>
      <c r="F1271" s="4" t="s">
        <v>9</v>
      </c>
      <c r="G1271" s="4" t="s">
        <v>3018</v>
      </c>
      <c r="H1271" s="6" t="s">
        <v>11</v>
      </c>
    </row>
    <row r="1272" spans="1:8" x14ac:dyDescent="0.25">
      <c r="A1272" s="4" t="s">
        <v>3019</v>
      </c>
      <c r="B1272" s="4" t="s">
        <v>75</v>
      </c>
      <c r="F1272" s="4" t="s">
        <v>9</v>
      </c>
      <c r="G1272" s="4" t="s">
        <v>3020</v>
      </c>
      <c r="H1272" s="6" t="s">
        <v>11</v>
      </c>
    </row>
    <row r="1273" spans="1:8" x14ac:dyDescent="0.25">
      <c r="A1273" s="4" t="s">
        <v>3021</v>
      </c>
      <c r="B1273" s="4" t="s">
        <v>75</v>
      </c>
      <c r="F1273" s="4" t="s">
        <v>9</v>
      </c>
      <c r="G1273" s="4" t="s">
        <v>3022</v>
      </c>
      <c r="H1273" s="6" t="s">
        <v>11</v>
      </c>
    </row>
    <row r="1274" spans="1:8" x14ac:dyDescent="0.25">
      <c r="A1274" s="4" t="str">
        <f>"FRASCO SABONETEIRA - ESTOQUE TAP "</f>
        <v xml:space="preserve">FRASCO SABONETEIRA - ESTOQUE TAP </v>
      </c>
      <c r="B1274" s="4" t="s">
        <v>75</v>
      </c>
      <c r="F1274" s="4" t="s">
        <v>9</v>
      </c>
      <c r="G1274" s="4" t="s">
        <v>3037</v>
      </c>
      <c r="H1274" s="6" t="s">
        <v>11</v>
      </c>
    </row>
    <row r="1275" spans="1:8" x14ac:dyDescent="0.25">
      <c r="A1275" s="4" t="s">
        <v>3038</v>
      </c>
      <c r="B1275" s="4" t="s">
        <v>75</v>
      </c>
      <c r="F1275" s="4" t="s">
        <v>9</v>
      </c>
      <c r="G1275" s="4" t="s">
        <v>3039</v>
      </c>
      <c r="H1275" s="6" t="s">
        <v>11</v>
      </c>
    </row>
    <row r="1276" spans="1:8" x14ac:dyDescent="0.25">
      <c r="A1276" s="4" t="s">
        <v>3057</v>
      </c>
      <c r="B1276" s="4" t="s">
        <v>75</v>
      </c>
      <c r="F1276" s="4" t="s">
        <v>9</v>
      </c>
      <c r="G1276" s="4" t="s">
        <v>3058</v>
      </c>
      <c r="H1276" s="6" t="s">
        <v>11</v>
      </c>
    </row>
    <row r="1277" spans="1:8" x14ac:dyDescent="0.25">
      <c r="A1277" s="4" t="s">
        <v>3059</v>
      </c>
      <c r="B1277" s="4" t="s">
        <v>75</v>
      </c>
      <c r="D1277" s="5">
        <v>9.4499999999999993</v>
      </c>
      <c r="F1277" s="4" t="s">
        <v>9</v>
      </c>
      <c r="G1277" s="4" t="s">
        <v>3060</v>
      </c>
      <c r="H1277" s="6" t="s">
        <v>11</v>
      </c>
    </row>
    <row r="1278" spans="1:8" x14ac:dyDescent="0.25">
      <c r="A1278" s="4" t="s">
        <v>3089</v>
      </c>
      <c r="B1278" s="4" t="s">
        <v>75</v>
      </c>
      <c r="F1278" s="4" t="s">
        <v>9</v>
      </c>
      <c r="G1278" s="4" t="s">
        <v>3090</v>
      </c>
      <c r="H1278" s="6" t="s">
        <v>11</v>
      </c>
    </row>
    <row r="1279" spans="1:8" x14ac:dyDescent="0.25">
      <c r="A1279" s="4" t="s">
        <v>3104</v>
      </c>
      <c r="B1279" s="4" t="s">
        <v>75</v>
      </c>
      <c r="D1279" s="5">
        <v>2.88</v>
      </c>
      <c r="F1279" s="4" t="s">
        <v>35</v>
      </c>
      <c r="G1279" s="4" t="s">
        <v>3105</v>
      </c>
      <c r="H1279" s="6" t="s">
        <v>11</v>
      </c>
    </row>
    <row r="1280" spans="1:8" x14ac:dyDescent="0.25">
      <c r="A1280" s="4" t="s">
        <v>3151</v>
      </c>
      <c r="B1280" s="4" t="s">
        <v>75</v>
      </c>
      <c r="F1280" s="4" t="s">
        <v>9</v>
      </c>
      <c r="G1280" s="4" t="s">
        <v>3152</v>
      </c>
      <c r="H1280" s="6" t="s">
        <v>11</v>
      </c>
    </row>
    <row r="1281" spans="1:8" x14ac:dyDescent="0.25">
      <c r="A1281" s="4" t="str">
        <f>"GRAMPO "</f>
        <v xml:space="preserve">GRAMPO </v>
      </c>
      <c r="B1281" s="4" t="s">
        <v>75</v>
      </c>
      <c r="F1281" s="4" t="s">
        <v>9</v>
      </c>
      <c r="G1281" s="4" t="s">
        <v>3153</v>
      </c>
      <c r="H1281" s="6" t="s">
        <v>11</v>
      </c>
    </row>
    <row r="1282" spans="1:8" x14ac:dyDescent="0.25">
      <c r="A1282" s="4" t="s">
        <v>3158</v>
      </c>
      <c r="B1282" s="4" t="s">
        <v>75</v>
      </c>
      <c r="F1282" s="4" t="s">
        <v>66</v>
      </c>
      <c r="G1282" s="4" t="s">
        <v>3159</v>
      </c>
      <c r="H1282" s="6" t="s">
        <v>11</v>
      </c>
    </row>
    <row r="1283" spans="1:8" x14ac:dyDescent="0.25">
      <c r="A1283" s="4" t="s">
        <v>3180</v>
      </c>
      <c r="B1283" s="4" t="s">
        <v>75</v>
      </c>
      <c r="F1283" s="4" t="s">
        <v>35</v>
      </c>
      <c r="G1283" s="4" t="s">
        <v>3181</v>
      </c>
      <c r="H1283" s="6" t="s">
        <v>11</v>
      </c>
    </row>
    <row r="1284" spans="1:8" x14ac:dyDescent="0.25">
      <c r="A1284" s="4" t="s">
        <v>3190</v>
      </c>
      <c r="B1284" s="4" t="s">
        <v>75</v>
      </c>
      <c r="F1284" s="4" t="s">
        <v>9</v>
      </c>
      <c r="G1284" s="4" t="s">
        <v>3191</v>
      </c>
      <c r="H1284" s="6" t="s">
        <v>11</v>
      </c>
    </row>
    <row r="1285" spans="1:8" x14ac:dyDescent="0.25">
      <c r="A1285" s="4" t="s">
        <v>3206</v>
      </c>
      <c r="B1285" s="4" t="s">
        <v>75</v>
      </c>
      <c r="C1285" s="5">
        <v>40</v>
      </c>
      <c r="F1285" s="4" t="s">
        <v>9</v>
      </c>
      <c r="G1285" s="4" t="s">
        <v>3207</v>
      </c>
      <c r="H1285" s="6" t="s">
        <v>11</v>
      </c>
    </row>
    <row r="1286" spans="1:8" x14ac:dyDescent="0.25">
      <c r="A1286" s="4" t="s">
        <v>3210</v>
      </c>
      <c r="B1286" s="4" t="s">
        <v>75</v>
      </c>
      <c r="F1286" s="4" t="s">
        <v>9</v>
      </c>
      <c r="G1286" s="4" t="s">
        <v>3211</v>
      </c>
      <c r="H1286" s="6" t="s">
        <v>11</v>
      </c>
    </row>
    <row r="1287" spans="1:8" x14ac:dyDescent="0.25">
      <c r="A1287" s="4" t="str">
        <f>"JARRA "</f>
        <v xml:space="preserve">JARRA </v>
      </c>
      <c r="B1287" s="4" t="s">
        <v>75</v>
      </c>
      <c r="F1287" s="4" t="s">
        <v>2384</v>
      </c>
      <c r="G1287" s="4" t="s">
        <v>3251</v>
      </c>
      <c r="H1287" s="6" t="s">
        <v>11</v>
      </c>
    </row>
    <row r="1288" spans="1:8" x14ac:dyDescent="0.25">
      <c r="A1288" s="4" t="s">
        <v>3373</v>
      </c>
      <c r="B1288" s="4" t="s">
        <v>75</v>
      </c>
      <c r="F1288" s="4" t="s">
        <v>9</v>
      </c>
      <c r="G1288" s="4" t="s">
        <v>3374</v>
      </c>
      <c r="H1288" s="6" t="s">
        <v>11</v>
      </c>
    </row>
    <row r="1289" spans="1:8" x14ac:dyDescent="0.25">
      <c r="A1289" s="4" t="s">
        <v>3375</v>
      </c>
      <c r="B1289" s="4" t="s">
        <v>75</v>
      </c>
      <c r="F1289" s="4" t="s">
        <v>66</v>
      </c>
      <c r="G1289" s="4" t="s">
        <v>3376</v>
      </c>
      <c r="H1289" s="6" t="s">
        <v>11</v>
      </c>
    </row>
    <row r="1290" spans="1:8" x14ac:dyDescent="0.25">
      <c r="A1290" s="4" t="str">
        <f>"LUVA NITRILICA "</f>
        <v xml:space="preserve">LUVA NITRILICA </v>
      </c>
      <c r="B1290" s="4" t="s">
        <v>75</v>
      </c>
      <c r="D1290" s="5">
        <v>52.2</v>
      </c>
      <c r="F1290" s="4" t="s">
        <v>9</v>
      </c>
      <c r="G1290" s="4" t="s">
        <v>3377</v>
      </c>
      <c r="H1290" s="6" t="s">
        <v>11</v>
      </c>
    </row>
    <row r="1291" spans="1:8" x14ac:dyDescent="0.25">
      <c r="A1291" s="4" t="s">
        <v>3839</v>
      </c>
      <c r="B1291" s="4" t="s">
        <v>75</v>
      </c>
      <c r="C1291" s="5">
        <v>36.700000000000003</v>
      </c>
      <c r="D1291" s="5">
        <v>17.690000000000001</v>
      </c>
      <c r="F1291" s="4" t="s">
        <v>9</v>
      </c>
      <c r="G1291" s="4" t="s">
        <v>3840</v>
      </c>
      <c r="H1291" s="6" t="s">
        <v>11</v>
      </c>
    </row>
    <row r="1292" spans="1:8" x14ac:dyDescent="0.25">
      <c r="A1292" s="4" t="s">
        <v>3843</v>
      </c>
      <c r="B1292" s="4" t="s">
        <v>75</v>
      </c>
      <c r="F1292" s="4" t="s">
        <v>9</v>
      </c>
      <c r="G1292" s="4" t="s">
        <v>3844</v>
      </c>
      <c r="H1292" s="6" t="s">
        <v>11</v>
      </c>
    </row>
    <row r="1293" spans="1:8" x14ac:dyDescent="0.25">
      <c r="A1293" s="4" t="str">
        <f>"MOP REFIL - ESTOQUE TAP "</f>
        <v xml:space="preserve">MOP REFIL - ESTOQUE TAP </v>
      </c>
      <c r="B1293" s="4" t="s">
        <v>75</v>
      </c>
      <c r="F1293" s="4" t="s">
        <v>9</v>
      </c>
      <c r="G1293" s="4" t="s">
        <v>3845</v>
      </c>
      <c r="H1293" s="6" t="s">
        <v>11</v>
      </c>
    </row>
    <row r="1294" spans="1:8" x14ac:dyDescent="0.25">
      <c r="A1294" s="4" t="s">
        <v>3846</v>
      </c>
      <c r="B1294" s="4" t="s">
        <v>75</v>
      </c>
      <c r="F1294" s="4" t="s">
        <v>9</v>
      </c>
      <c r="G1294" s="4" t="s">
        <v>3847</v>
      </c>
      <c r="H1294" s="6" t="s">
        <v>11</v>
      </c>
    </row>
    <row r="1295" spans="1:8" x14ac:dyDescent="0.25">
      <c r="A1295" s="4" t="s">
        <v>3852</v>
      </c>
      <c r="B1295" s="4" t="s">
        <v>75</v>
      </c>
      <c r="D1295" s="5">
        <v>109.01</v>
      </c>
      <c r="F1295" s="4" t="s">
        <v>35</v>
      </c>
      <c r="G1295" s="4" t="s">
        <v>3853</v>
      </c>
      <c r="H1295" s="6" t="s">
        <v>11</v>
      </c>
    </row>
    <row r="1296" spans="1:8" x14ac:dyDescent="0.25">
      <c r="A1296" s="4" t="s">
        <v>3926</v>
      </c>
      <c r="B1296" s="4" t="s">
        <v>75</v>
      </c>
      <c r="F1296" s="4" t="s">
        <v>9</v>
      </c>
      <c r="G1296" s="4" t="s">
        <v>3927</v>
      </c>
      <c r="H1296" s="6" t="s">
        <v>11</v>
      </c>
    </row>
    <row r="1297" spans="1:8" x14ac:dyDescent="0.25">
      <c r="A1297" s="4" t="s">
        <v>3935</v>
      </c>
      <c r="B1297" s="4" t="s">
        <v>75</v>
      </c>
      <c r="D1297" s="5">
        <v>14.7</v>
      </c>
      <c r="F1297" s="4" t="s">
        <v>59</v>
      </c>
      <c r="G1297" s="4" t="s">
        <v>3936</v>
      </c>
      <c r="H1297" s="6" t="s">
        <v>11</v>
      </c>
    </row>
    <row r="1298" spans="1:8" x14ac:dyDescent="0.25">
      <c r="A1298" s="4" t="s">
        <v>3941</v>
      </c>
      <c r="B1298" s="4" t="s">
        <v>75</v>
      </c>
      <c r="D1298" s="5">
        <v>15.08</v>
      </c>
      <c r="F1298" s="4" t="s">
        <v>59</v>
      </c>
      <c r="G1298" s="4" t="s">
        <v>3942</v>
      </c>
      <c r="H1298" s="6" t="s">
        <v>11</v>
      </c>
    </row>
    <row r="1299" spans="1:8" x14ac:dyDescent="0.25">
      <c r="A1299" s="4" t="str">
        <f>"OLEO DE COCO - ESTOQUE TAP "</f>
        <v xml:space="preserve">OLEO DE COCO - ESTOQUE TAP </v>
      </c>
      <c r="B1299" s="4" t="s">
        <v>75</v>
      </c>
      <c r="D1299" s="5">
        <v>59.21</v>
      </c>
      <c r="F1299" s="4" t="s">
        <v>59</v>
      </c>
      <c r="G1299" s="4" t="s">
        <v>3943</v>
      </c>
      <c r="H1299" s="6" t="s">
        <v>11</v>
      </c>
    </row>
    <row r="1300" spans="1:8" x14ac:dyDescent="0.25">
      <c r="A1300" s="4" t="s">
        <v>3944</v>
      </c>
      <c r="B1300" s="4" t="s">
        <v>75</v>
      </c>
      <c r="D1300" s="5">
        <v>8.17</v>
      </c>
      <c r="E1300" s="5">
        <v>10.8</v>
      </c>
      <c r="F1300" s="4" t="s">
        <v>59</v>
      </c>
      <c r="G1300" s="4" t="s">
        <v>3945</v>
      </c>
      <c r="H1300" s="6" t="s">
        <v>11</v>
      </c>
    </row>
    <row r="1301" spans="1:8" x14ac:dyDescent="0.25">
      <c r="A1301" s="4" t="s">
        <v>3977</v>
      </c>
      <c r="B1301" s="4" t="s">
        <v>75</v>
      </c>
      <c r="F1301" s="4" t="s">
        <v>9</v>
      </c>
      <c r="G1301" s="4" t="s">
        <v>3978</v>
      </c>
      <c r="H1301" s="6" t="s">
        <v>11</v>
      </c>
    </row>
    <row r="1302" spans="1:8" x14ac:dyDescent="0.25">
      <c r="A1302" s="4" t="s">
        <v>3979</v>
      </c>
      <c r="B1302" s="4" t="s">
        <v>75</v>
      </c>
      <c r="F1302" s="4" t="s">
        <v>9</v>
      </c>
      <c r="G1302" s="4" t="s">
        <v>3980</v>
      </c>
      <c r="H1302" s="6" t="s">
        <v>11</v>
      </c>
    </row>
    <row r="1303" spans="1:8" x14ac:dyDescent="0.25">
      <c r="A1303" s="4" t="s">
        <v>4025</v>
      </c>
      <c r="B1303" s="4" t="s">
        <v>75</v>
      </c>
      <c r="D1303" s="5">
        <v>67.5</v>
      </c>
      <c r="F1303" s="4" t="s">
        <v>9</v>
      </c>
      <c r="G1303" s="4" t="s">
        <v>4026</v>
      </c>
      <c r="H1303" s="6" t="s">
        <v>11</v>
      </c>
    </row>
    <row r="1304" spans="1:8" x14ac:dyDescent="0.25">
      <c r="A1304" s="4" t="s">
        <v>4027</v>
      </c>
      <c r="B1304" s="4" t="s">
        <v>75</v>
      </c>
      <c r="F1304" s="4" t="s">
        <v>66</v>
      </c>
      <c r="G1304" s="4" t="s">
        <v>4028</v>
      </c>
      <c r="H1304" s="6" t="s">
        <v>11</v>
      </c>
    </row>
    <row r="1305" spans="1:8" x14ac:dyDescent="0.25">
      <c r="A1305" s="4" t="s">
        <v>4032</v>
      </c>
      <c r="B1305" s="4" t="s">
        <v>75</v>
      </c>
      <c r="F1305" s="4" t="s">
        <v>9</v>
      </c>
      <c r="G1305" s="4" t="s">
        <v>4033</v>
      </c>
      <c r="H1305" s="6" t="s">
        <v>11</v>
      </c>
    </row>
    <row r="1306" spans="1:8" x14ac:dyDescent="0.25">
      <c r="A1306" s="4" t="s">
        <v>4071</v>
      </c>
      <c r="B1306" s="4" t="s">
        <v>75</v>
      </c>
      <c r="F1306" s="4" t="s">
        <v>9</v>
      </c>
      <c r="G1306" s="4" t="s">
        <v>4072</v>
      </c>
      <c r="H1306" s="6" t="s">
        <v>11</v>
      </c>
    </row>
    <row r="1307" spans="1:8" x14ac:dyDescent="0.25">
      <c r="A1307" s="4" t="s">
        <v>4096</v>
      </c>
      <c r="B1307" s="4" t="s">
        <v>75</v>
      </c>
      <c r="F1307" s="4" t="s">
        <v>9</v>
      </c>
      <c r="G1307" s="4" t="s">
        <v>4097</v>
      </c>
      <c r="H1307" s="6" t="s">
        <v>11</v>
      </c>
    </row>
    <row r="1308" spans="1:8" x14ac:dyDescent="0.25">
      <c r="A1308" s="4" t="s">
        <v>4148</v>
      </c>
      <c r="B1308" s="4" t="s">
        <v>75</v>
      </c>
      <c r="F1308" s="4" t="s">
        <v>9</v>
      </c>
      <c r="G1308" s="4" t="s">
        <v>4149</v>
      </c>
      <c r="H1308" s="6" t="s">
        <v>11</v>
      </c>
    </row>
    <row r="1309" spans="1:8" x14ac:dyDescent="0.25">
      <c r="A1309" s="4" t="str">
        <f>"POTE "</f>
        <v xml:space="preserve">POTE </v>
      </c>
      <c r="B1309" s="4" t="s">
        <v>75</v>
      </c>
      <c r="F1309" s="4" t="s">
        <v>9</v>
      </c>
      <c r="G1309" s="4" t="s">
        <v>4150</v>
      </c>
      <c r="H1309" s="6" t="s">
        <v>11</v>
      </c>
    </row>
    <row r="1310" spans="1:8" x14ac:dyDescent="0.25">
      <c r="A1310" s="4" t="s">
        <v>4151</v>
      </c>
      <c r="B1310" s="4" t="s">
        <v>75</v>
      </c>
      <c r="F1310" s="4" t="s">
        <v>9</v>
      </c>
      <c r="G1310" s="4" t="s">
        <v>4152</v>
      </c>
      <c r="H1310" s="6" t="s">
        <v>11</v>
      </c>
    </row>
    <row r="1311" spans="1:8" x14ac:dyDescent="0.25">
      <c r="A1311" s="4" t="s">
        <v>4153</v>
      </c>
      <c r="B1311" s="4" t="s">
        <v>75</v>
      </c>
      <c r="F1311" s="4" t="s">
        <v>9</v>
      </c>
      <c r="G1311" s="4" t="s">
        <v>4154</v>
      </c>
      <c r="H1311" s="6" t="s">
        <v>11</v>
      </c>
    </row>
    <row r="1312" spans="1:8" x14ac:dyDescent="0.25">
      <c r="A1312" s="4" t="str">
        <f>"POTE MOLHO 60ML  - ESTOQUE TAP "</f>
        <v xml:space="preserve">POTE MOLHO 60ML  - ESTOQUE TAP </v>
      </c>
      <c r="B1312" s="4" t="s">
        <v>75</v>
      </c>
      <c r="F1312" s="4" t="s">
        <v>9</v>
      </c>
      <c r="G1312" s="4" t="s">
        <v>4155</v>
      </c>
      <c r="H1312" s="6" t="s">
        <v>11</v>
      </c>
    </row>
    <row r="1313" spans="1:8" x14ac:dyDescent="0.25">
      <c r="A1313" s="4" t="s">
        <v>4156</v>
      </c>
      <c r="B1313" s="4" t="s">
        <v>75</v>
      </c>
      <c r="F1313" s="4" t="s">
        <v>9</v>
      </c>
      <c r="G1313" s="4" t="s">
        <v>4157</v>
      </c>
      <c r="H1313" s="6" t="s">
        <v>11</v>
      </c>
    </row>
    <row r="1314" spans="1:8" x14ac:dyDescent="0.25">
      <c r="A1314" s="4" t="s">
        <v>4158</v>
      </c>
      <c r="B1314" s="4" t="s">
        <v>75</v>
      </c>
      <c r="F1314" s="4" t="s">
        <v>9</v>
      </c>
      <c r="G1314" s="4" t="s">
        <v>4159</v>
      </c>
      <c r="H1314" s="6" t="s">
        <v>11</v>
      </c>
    </row>
    <row r="1315" spans="1:8" x14ac:dyDescent="0.25">
      <c r="A1315" s="4" t="s">
        <v>4164</v>
      </c>
      <c r="B1315" s="4" t="s">
        <v>75</v>
      </c>
      <c r="F1315" s="4" t="s">
        <v>9</v>
      </c>
      <c r="G1315" s="4" t="s">
        <v>4165</v>
      </c>
      <c r="H1315" s="6" t="s">
        <v>11</v>
      </c>
    </row>
    <row r="1316" spans="1:8" x14ac:dyDescent="0.25">
      <c r="A1316" s="4" t="str">
        <f>"PRATO QUADRADO ARDOSIA - ESTOQUE TAP "</f>
        <v xml:space="preserve">PRATO QUADRADO ARDOSIA - ESTOQUE TAP </v>
      </c>
      <c r="B1316" s="4" t="s">
        <v>75</v>
      </c>
      <c r="F1316" s="4" t="s">
        <v>9</v>
      </c>
      <c r="G1316" s="4" t="s">
        <v>4166</v>
      </c>
      <c r="H1316" s="6" t="s">
        <v>11</v>
      </c>
    </row>
    <row r="1317" spans="1:8" x14ac:dyDescent="0.25">
      <c r="A1317" s="4" t="s">
        <v>4167</v>
      </c>
      <c r="B1317" s="4" t="s">
        <v>75</v>
      </c>
      <c r="F1317" s="4" t="s">
        <v>9</v>
      </c>
      <c r="G1317" s="4" t="s">
        <v>4168</v>
      </c>
      <c r="H1317" s="6" t="s">
        <v>11</v>
      </c>
    </row>
    <row r="1318" spans="1:8" x14ac:dyDescent="0.25">
      <c r="A1318" s="4" t="str">
        <f>"PROTETOR AURICULAR - ESTOQUE TAP "</f>
        <v xml:space="preserve">PROTETOR AURICULAR - ESTOQUE TAP </v>
      </c>
      <c r="B1318" s="4" t="s">
        <v>75</v>
      </c>
      <c r="F1318" s="4" t="s">
        <v>9</v>
      </c>
      <c r="G1318" s="4" t="s">
        <v>4180</v>
      </c>
      <c r="H1318" s="6" t="s">
        <v>11</v>
      </c>
    </row>
    <row r="1319" spans="1:8" x14ac:dyDescent="0.25">
      <c r="A1319" s="4" t="str">
        <f>"PULVERIZADOR - ESTOQUE TAP "</f>
        <v xml:space="preserve">PULVERIZADOR - ESTOQUE TAP </v>
      </c>
      <c r="B1319" s="4" t="s">
        <v>75</v>
      </c>
      <c r="F1319" s="4" t="s">
        <v>9</v>
      </c>
      <c r="G1319" s="4" t="s">
        <v>4183</v>
      </c>
      <c r="H1319" s="6" t="s">
        <v>11</v>
      </c>
    </row>
    <row r="1320" spans="1:8" x14ac:dyDescent="0.25">
      <c r="A1320" s="4" t="s">
        <v>4281</v>
      </c>
      <c r="B1320" s="4" t="s">
        <v>75</v>
      </c>
      <c r="F1320" s="4" t="s">
        <v>9</v>
      </c>
      <c r="G1320" s="4" t="s">
        <v>4282</v>
      </c>
      <c r="H1320" s="6" t="s">
        <v>11</v>
      </c>
    </row>
    <row r="1321" spans="1:8" x14ac:dyDescent="0.25">
      <c r="A1321" s="4" t="str">
        <f>"REDE ISOMANTA "</f>
        <v xml:space="preserve">REDE ISOMANTA </v>
      </c>
      <c r="B1321" s="4" t="s">
        <v>75</v>
      </c>
      <c r="F1321" s="4" t="s">
        <v>9</v>
      </c>
      <c r="G1321" s="4" t="s">
        <v>4297</v>
      </c>
      <c r="H1321" s="6" t="s">
        <v>11</v>
      </c>
    </row>
    <row r="1322" spans="1:8" x14ac:dyDescent="0.25">
      <c r="A1322" s="4" t="s">
        <v>4318</v>
      </c>
      <c r="B1322" s="4" t="s">
        <v>75</v>
      </c>
      <c r="C1322" s="5">
        <v>6</v>
      </c>
      <c r="D1322" s="5">
        <v>2.46</v>
      </c>
      <c r="F1322" s="4" t="s">
        <v>9</v>
      </c>
      <c r="G1322" s="4" t="s">
        <v>4319</v>
      </c>
      <c r="H1322" s="6" t="s">
        <v>11</v>
      </c>
    </row>
    <row r="1323" spans="1:8" x14ac:dyDescent="0.25">
      <c r="A1323" s="4" t="s">
        <v>4329</v>
      </c>
      <c r="B1323" s="4" t="s">
        <v>75</v>
      </c>
      <c r="F1323" s="4" t="s">
        <v>9</v>
      </c>
      <c r="G1323" s="4" t="s">
        <v>4330</v>
      </c>
      <c r="H1323" s="6" t="s">
        <v>11</v>
      </c>
    </row>
    <row r="1324" spans="1:8" x14ac:dyDescent="0.25">
      <c r="A1324" s="4" t="str">
        <f>"REVITALIZADOR PARA ARDOSIA - ESTOQUE TAP "</f>
        <v xml:space="preserve">REVITALIZADOR PARA ARDOSIA - ESTOQUE TAP </v>
      </c>
      <c r="B1324" s="4" t="s">
        <v>75</v>
      </c>
      <c r="F1324" s="4" t="s">
        <v>9</v>
      </c>
      <c r="G1324" s="4" t="s">
        <v>4337</v>
      </c>
      <c r="H1324" s="6" t="s">
        <v>11</v>
      </c>
    </row>
    <row r="1325" spans="1:8" x14ac:dyDescent="0.25">
      <c r="A1325" s="4" t="s">
        <v>4396</v>
      </c>
      <c r="B1325" s="4" t="s">
        <v>75</v>
      </c>
      <c r="F1325" s="4" t="s">
        <v>9</v>
      </c>
      <c r="G1325" s="4" t="s">
        <v>4397</v>
      </c>
      <c r="H1325" s="6" t="s">
        <v>11</v>
      </c>
    </row>
    <row r="1326" spans="1:8" x14ac:dyDescent="0.25">
      <c r="A1326" s="4" t="s">
        <v>4398</v>
      </c>
      <c r="B1326" s="4" t="s">
        <v>75</v>
      </c>
      <c r="F1326" s="4" t="s">
        <v>9</v>
      </c>
      <c r="G1326" s="4" t="s">
        <v>4399</v>
      </c>
      <c r="H1326" s="6" t="s">
        <v>11</v>
      </c>
    </row>
    <row r="1327" spans="1:8" x14ac:dyDescent="0.25">
      <c r="A1327" s="4" t="s">
        <v>4400</v>
      </c>
      <c r="B1327" s="4" t="s">
        <v>75</v>
      </c>
      <c r="F1327" s="4" t="s">
        <v>9</v>
      </c>
      <c r="G1327" s="4" t="s">
        <v>4401</v>
      </c>
      <c r="H1327" s="6" t="s">
        <v>11</v>
      </c>
    </row>
    <row r="1328" spans="1:8" x14ac:dyDescent="0.25">
      <c r="A1328" s="4" t="s">
        <v>4402</v>
      </c>
      <c r="B1328" s="4" t="s">
        <v>75</v>
      </c>
      <c r="F1328" s="4" t="s">
        <v>9</v>
      </c>
      <c r="G1328" s="4" t="s">
        <v>4403</v>
      </c>
      <c r="H1328" s="6" t="s">
        <v>11</v>
      </c>
    </row>
    <row r="1329" spans="1:8" x14ac:dyDescent="0.25">
      <c r="A1329" s="4" t="str">
        <f>"SACO DE PAPAEL P/ HAMBURGAO - ESTOQUE TAP "</f>
        <v xml:space="preserve">SACO DE PAPAEL P/ HAMBURGAO - ESTOQUE TAP </v>
      </c>
      <c r="B1329" s="4" t="s">
        <v>75</v>
      </c>
      <c r="F1329" s="4" t="s">
        <v>9</v>
      </c>
      <c r="G1329" s="4" t="s">
        <v>4405</v>
      </c>
      <c r="H1329" s="6" t="s">
        <v>11</v>
      </c>
    </row>
    <row r="1330" spans="1:8" x14ac:dyDescent="0.25">
      <c r="A1330" s="4" t="s">
        <v>4408</v>
      </c>
      <c r="B1330" s="4" t="s">
        <v>75</v>
      </c>
      <c r="F1330" s="4" t="s">
        <v>9</v>
      </c>
      <c r="G1330" s="4" t="s">
        <v>4409</v>
      </c>
      <c r="H1330" s="6" t="s">
        <v>11</v>
      </c>
    </row>
    <row r="1331" spans="1:8" x14ac:dyDescent="0.25">
      <c r="A1331" s="4" t="s">
        <v>4410</v>
      </c>
      <c r="B1331" s="4" t="s">
        <v>75</v>
      </c>
      <c r="F1331" s="4" t="s">
        <v>9</v>
      </c>
      <c r="G1331" s="4" t="s">
        <v>4411</v>
      </c>
      <c r="H1331" s="6" t="s">
        <v>11</v>
      </c>
    </row>
    <row r="1332" spans="1:8" x14ac:dyDescent="0.25">
      <c r="A1332" s="4" t="str">
        <f>"SACO PLASTICO "</f>
        <v xml:space="preserve">SACO PLASTICO </v>
      </c>
      <c r="B1332" s="4" t="s">
        <v>75</v>
      </c>
      <c r="F1332" s="4" t="s">
        <v>9</v>
      </c>
      <c r="G1332" s="4" t="s">
        <v>4412</v>
      </c>
      <c r="H1332" s="6" t="s">
        <v>11</v>
      </c>
    </row>
    <row r="1333" spans="1:8" x14ac:dyDescent="0.25">
      <c r="A1333" s="4" t="str">
        <f>"SACOLA PLASTICA "</f>
        <v xml:space="preserve">SACOLA PLASTICA </v>
      </c>
      <c r="B1333" s="4" t="s">
        <v>75</v>
      </c>
      <c r="F1333" s="4" t="s">
        <v>9</v>
      </c>
      <c r="G1333" s="4" t="s">
        <v>4415</v>
      </c>
      <c r="H1333" s="6" t="s">
        <v>11</v>
      </c>
    </row>
    <row r="1334" spans="1:8" x14ac:dyDescent="0.25">
      <c r="A1334" s="4" t="s">
        <v>4432</v>
      </c>
      <c r="B1334" s="4" t="s">
        <v>75</v>
      </c>
      <c r="F1334" s="4" t="s">
        <v>35</v>
      </c>
      <c r="G1334" s="4" t="s">
        <v>4433</v>
      </c>
      <c r="H1334" s="6" t="s">
        <v>11</v>
      </c>
    </row>
    <row r="1335" spans="1:8" x14ac:dyDescent="0.25">
      <c r="A1335" s="4" t="s">
        <v>4445</v>
      </c>
      <c r="B1335" s="4" t="s">
        <v>75</v>
      </c>
      <c r="F1335" s="4" t="s">
        <v>9</v>
      </c>
      <c r="G1335" s="4" t="s">
        <v>4446</v>
      </c>
      <c r="H1335" s="6" t="s">
        <v>11</v>
      </c>
    </row>
    <row r="1336" spans="1:8" x14ac:dyDescent="0.25">
      <c r="A1336" s="4" t="s">
        <v>4469</v>
      </c>
      <c r="B1336" s="4" t="s">
        <v>75</v>
      </c>
      <c r="F1336" s="4" t="s">
        <v>9</v>
      </c>
      <c r="G1336" s="4" t="s">
        <v>4470</v>
      </c>
      <c r="H1336" s="6" t="s">
        <v>11</v>
      </c>
    </row>
    <row r="1337" spans="1:8" x14ac:dyDescent="0.25">
      <c r="A1337" s="4" t="s">
        <v>4593</v>
      </c>
      <c r="B1337" s="4" t="s">
        <v>75</v>
      </c>
      <c r="F1337" s="4" t="s">
        <v>9</v>
      </c>
      <c r="G1337" s="4" t="s">
        <v>4594</v>
      </c>
      <c r="H1337" s="6" t="s">
        <v>11</v>
      </c>
    </row>
    <row r="1338" spans="1:8" x14ac:dyDescent="0.25">
      <c r="A1338" s="4" t="s">
        <v>4597</v>
      </c>
      <c r="B1338" s="4" t="s">
        <v>75</v>
      </c>
      <c r="F1338" s="4" t="s">
        <v>9</v>
      </c>
      <c r="G1338" s="4" t="s">
        <v>4598</v>
      </c>
      <c r="H1338" s="6" t="s">
        <v>11</v>
      </c>
    </row>
    <row r="1339" spans="1:8" x14ac:dyDescent="0.25">
      <c r="A1339" s="4" t="s">
        <v>4599</v>
      </c>
      <c r="B1339" s="4" t="s">
        <v>75</v>
      </c>
      <c r="F1339" s="4" t="s">
        <v>9</v>
      </c>
      <c r="G1339" s="4" t="s">
        <v>4600</v>
      </c>
      <c r="H1339" s="6" t="s">
        <v>11</v>
      </c>
    </row>
    <row r="1340" spans="1:8" x14ac:dyDescent="0.25">
      <c r="A1340" s="4" t="s">
        <v>4606</v>
      </c>
      <c r="B1340" s="4" t="s">
        <v>75</v>
      </c>
      <c r="F1340" s="4" t="s">
        <v>9</v>
      </c>
      <c r="G1340" s="4" t="s">
        <v>4607</v>
      </c>
      <c r="H1340" s="6" t="s">
        <v>11</v>
      </c>
    </row>
    <row r="1341" spans="1:8" x14ac:dyDescent="0.25">
      <c r="A1341" s="4" t="s">
        <v>4689</v>
      </c>
      <c r="B1341" s="4" t="s">
        <v>75</v>
      </c>
      <c r="F1341" s="4" t="s">
        <v>9</v>
      </c>
      <c r="G1341" s="4" t="s">
        <v>4690</v>
      </c>
      <c r="H1341" s="6" t="s">
        <v>11</v>
      </c>
    </row>
    <row r="1342" spans="1:8" x14ac:dyDescent="0.25">
      <c r="A1342" s="4" t="s">
        <v>4703</v>
      </c>
      <c r="B1342" s="4" t="s">
        <v>75</v>
      </c>
      <c r="F1342" s="4" t="s">
        <v>9</v>
      </c>
      <c r="G1342" s="4" t="s">
        <v>4704</v>
      </c>
      <c r="H1342" s="6" t="s">
        <v>11</v>
      </c>
    </row>
    <row r="1343" spans="1:8" x14ac:dyDescent="0.25">
      <c r="A1343" s="4" t="str">
        <f>"BOLO DE COCO COM CALDA "</f>
        <v xml:space="preserve">BOLO DE COCO COM CALDA </v>
      </c>
      <c r="B1343" s="4" t="s">
        <v>345</v>
      </c>
      <c r="C1343" s="5">
        <v>16</v>
      </c>
      <c r="D1343" s="5">
        <v>3.35</v>
      </c>
      <c r="F1343" s="4" t="s">
        <v>9</v>
      </c>
      <c r="G1343" s="4" t="s">
        <v>346</v>
      </c>
      <c r="H1343" s="6" t="s">
        <v>11</v>
      </c>
    </row>
    <row r="1344" spans="1:8" x14ac:dyDescent="0.25">
      <c r="A1344" s="4" t="s">
        <v>395</v>
      </c>
      <c r="B1344" s="4" t="s">
        <v>345</v>
      </c>
      <c r="C1344" s="5">
        <v>14.9</v>
      </c>
      <c r="D1344" s="5">
        <v>1.72</v>
      </c>
      <c r="F1344" s="4" t="s">
        <v>9</v>
      </c>
      <c r="G1344" s="4" t="s">
        <v>396</v>
      </c>
      <c r="H1344" s="6" t="s">
        <v>11</v>
      </c>
    </row>
    <row r="1345" spans="1:8" x14ac:dyDescent="0.25">
      <c r="A1345" s="4" t="s">
        <v>3094</v>
      </c>
      <c r="B1345" s="4" t="s">
        <v>345</v>
      </c>
      <c r="C1345" s="5">
        <v>14.5</v>
      </c>
      <c r="D1345" s="5">
        <v>6.18</v>
      </c>
      <c r="F1345" s="4" t="s">
        <v>9</v>
      </c>
      <c r="G1345" s="4" t="s">
        <v>3095</v>
      </c>
      <c r="H1345" s="6" t="s">
        <v>11</v>
      </c>
    </row>
    <row r="1346" spans="1:8" x14ac:dyDescent="0.25">
      <c r="A1346" s="4" t="s">
        <v>3096</v>
      </c>
      <c r="B1346" s="4" t="s">
        <v>345</v>
      </c>
      <c r="C1346" s="5">
        <v>14.5</v>
      </c>
      <c r="D1346" s="5">
        <v>6.25</v>
      </c>
      <c r="F1346" s="4" t="s">
        <v>9</v>
      </c>
      <c r="G1346" s="4" t="s">
        <v>3097</v>
      </c>
      <c r="H1346" s="6" t="s">
        <v>11</v>
      </c>
    </row>
    <row r="1347" spans="1:8" x14ac:dyDescent="0.25">
      <c r="A1347" s="4" t="s">
        <v>4181</v>
      </c>
      <c r="B1347" s="4" t="s">
        <v>345</v>
      </c>
      <c r="C1347" s="5">
        <v>14.99</v>
      </c>
      <c r="D1347" s="5">
        <v>2.67</v>
      </c>
      <c r="F1347" s="4" t="s">
        <v>9</v>
      </c>
      <c r="G1347" s="4" t="s">
        <v>4182</v>
      </c>
      <c r="H1347" s="6" t="s">
        <v>11</v>
      </c>
    </row>
    <row r="1348" spans="1:8" x14ac:dyDescent="0.25">
      <c r="A1348" s="4" t="str">
        <f>"AMERICAN CLASSIC BURGUER "</f>
        <v xml:space="preserve">AMERICAN CLASSIC BURGUER </v>
      </c>
      <c r="B1348" s="4" t="s">
        <v>140</v>
      </c>
      <c r="C1348" s="5">
        <v>38</v>
      </c>
      <c r="D1348" s="5">
        <v>8.31</v>
      </c>
      <c r="F1348" s="4" t="s">
        <v>9</v>
      </c>
      <c r="G1348" s="4" t="s">
        <v>141</v>
      </c>
      <c r="H1348" s="6" t="s">
        <v>11</v>
      </c>
    </row>
    <row r="1349" spans="1:8" x14ac:dyDescent="0.25">
      <c r="A1349" s="4" t="s">
        <v>142</v>
      </c>
      <c r="B1349" s="4" t="s">
        <v>140</v>
      </c>
      <c r="C1349" s="5">
        <v>38</v>
      </c>
      <c r="D1349" s="5">
        <v>9.07</v>
      </c>
      <c r="F1349" s="4" t="s">
        <v>9</v>
      </c>
      <c r="G1349" s="4" t="s">
        <v>143</v>
      </c>
      <c r="H1349" s="6" t="s">
        <v>11</v>
      </c>
    </row>
    <row r="1350" spans="1:8" x14ac:dyDescent="0.25">
      <c r="A1350" s="4" t="s">
        <v>316</v>
      </c>
      <c r="B1350" s="4" t="s">
        <v>140</v>
      </c>
      <c r="C1350" s="5">
        <v>38</v>
      </c>
      <c r="D1350" s="5">
        <v>7.2</v>
      </c>
      <c r="F1350" s="4" t="s">
        <v>9</v>
      </c>
      <c r="G1350" s="4" t="s">
        <v>317</v>
      </c>
      <c r="H1350" s="6" t="s">
        <v>11</v>
      </c>
    </row>
    <row r="1351" spans="1:8" x14ac:dyDescent="0.25">
      <c r="A1351" s="4" t="s">
        <v>318</v>
      </c>
      <c r="B1351" s="4" t="s">
        <v>140</v>
      </c>
      <c r="C1351" s="5">
        <v>38</v>
      </c>
      <c r="D1351" s="5">
        <v>8.4700000000000006</v>
      </c>
      <c r="F1351" s="4" t="s">
        <v>9</v>
      </c>
      <c r="G1351" s="4" t="s">
        <v>319</v>
      </c>
      <c r="H1351" s="6" t="s">
        <v>11</v>
      </c>
    </row>
    <row r="1352" spans="1:8" x14ac:dyDescent="0.25">
      <c r="A1352" s="4" t="s">
        <v>2271</v>
      </c>
      <c r="B1352" s="4" t="s">
        <v>140</v>
      </c>
      <c r="C1352" s="5">
        <v>31</v>
      </c>
      <c r="D1352" s="5">
        <v>8.01</v>
      </c>
      <c r="F1352" s="4" t="s">
        <v>9</v>
      </c>
      <c r="G1352" s="4" t="s">
        <v>2272</v>
      </c>
      <c r="H1352" s="6" t="s">
        <v>11</v>
      </c>
    </row>
    <row r="1353" spans="1:8" x14ac:dyDescent="0.25">
      <c r="A1353" s="4" t="s">
        <v>2309</v>
      </c>
      <c r="B1353" s="4" t="s">
        <v>140</v>
      </c>
      <c r="C1353" s="5">
        <v>60</v>
      </c>
      <c r="D1353" s="5">
        <v>10.41</v>
      </c>
      <c r="F1353" s="4" t="s">
        <v>9</v>
      </c>
      <c r="G1353" s="4" t="s">
        <v>2310</v>
      </c>
      <c r="H1353" s="6" t="s">
        <v>11</v>
      </c>
    </row>
    <row r="1354" spans="1:8" x14ac:dyDescent="0.25">
      <c r="A1354" s="4" t="s">
        <v>2311</v>
      </c>
      <c r="B1354" s="4" t="s">
        <v>140</v>
      </c>
      <c r="C1354" s="5">
        <v>112</v>
      </c>
      <c r="D1354" s="5">
        <v>10.41</v>
      </c>
      <c r="F1354" s="4" t="s">
        <v>9</v>
      </c>
      <c r="G1354" s="4" t="s">
        <v>2312</v>
      </c>
      <c r="H1354" s="6" t="s">
        <v>11</v>
      </c>
    </row>
    <row r="1355" spans="1:8" x14ac:dyDescent="0.25">
      <c r="A1355" s="4" t="s">
        <v>2866</v>
      </c>
      <c r="B1355" s="4" t="s">
        <v>140</v>
      </c>
      <c r="C1355" s="5">
        <v>16</v>
      </c>
      <c r="D1355" s="5">
        <v>7.7</v>
      </c>
      <c r="F1355" s="4" t="s">
        <v>9</v>
      </c>
      <c r="G1355" s="4" t="s">
        <v>2867</v>
      </c>
      <c r="H1355" s="6" t="s">
        <v>11</v>
      </c>
    </row>
    <row r="1356" spans="1:8" x14ac:dyDescent="0.25">
      <c r="A1356" s="4" t="s">
        <v>2869</v>
      </c>
      <c r="B1356" s="4" t="s">
        <v>140</v>
      </c>
      <c r="C1356" s="5">
        <v>16</v>
      </c>
      <c r="D1356" s="5">
        <v>8.01</v>
      </c>
      <c r="F1356" s="4" t="s">
        <v>9</v>
      </c>
      <c r="G1356" s="4" t="s">
        <v>2870</v>
      </c>
      <c r="H1356" s="6" t="s">
        <v>11</v>
      </c>
    </row>
    <row r="1357" spans="1:8" x14ac:dyDescent="0.25">
      <c r="A1357" s="4" t="s">
        <v>2873</v>
      </c>
      <c r="B1357" s="4" t="s">
        <v>140</v>
      </c>
      <c r="C1357" s="5">
        <v>16</v>
      </c>
      <c r="D1357" s="5">
        <v>7.52</v>
      </c>
      <c r="F1357" s="4" t="s">
        <v>9</v>
      </c>
      <c r="G1357" s="4" t="s">
        <v>2875</v>
      </c>
      <c r="H1357" s="6" t="s">
        <v>11</v>
      </c>
    </row>
    <row r="1358" spans="1:8" x14ac:dyDescent="0.25">
      <c r="A1358" s="4" t="s">
        <v>2876</v>
      </c>
      <c r="B1358" s="4" t="s">
        <v>140</v>
      </c>
      <c r="C1358" s="5">
        <v>16</v>
      </c>
      <c r="D1358" s="5">
        <v>7.74</v>
      </c>
      <c r="E1358" s="5">
        <v>20</v>
      </c>
      <c r="F1358" s="4" t="s">
        <v>9</v>
      </c>
      <c r="G1358" s="4" t="s">
        <v>2877</v>
      </c>
      <c r="H1358" s="6" t="s">
        <v>11</v>
      </c>
    </row>
    <row r="1359" spans="1:8" x14ac:dyDescent="0.25">
      <c r="A1359" s="4" t="s">
        <v>3490</v>
      </c>
      <c r="B1359" s="4" t="s">
        <v>140</v>
      </c>
      <c r="C1359" s="5">
        <v>44</v>
      </c>
      <c r="D1359" s="5">
        <v>13.63</v>
      </c>
      <c r="F1359" s="4" t="s">
        <v>9</v>
      </c>
      <c r="G1359" s="4" t="s">
        <v>3491</v>
      </c>
      <c r="H1359" s="6" t="s">
        <v>11</v>
      </c>
    </row>
    <row r="1360" spans="1:8" x14ac:dyDescent="0.25">
      <c r="A1360" s="4" t="s">
        <v>3933</v>
      </c>
      <c r="B1360" s="4" t="s">
        <v>140</v>
      </c>
      <c r="C1360" s="5">
        <v>34</v>
      </c>
      <c r="D1360" s="5">
        <v>12.65</v>
      </c>
      <c r="F1360" s="4" t="s">
        <v>9</v>
      </c>
      <c r="G1360" s="4" t="s">
        <v>3934</v>
      </c>
      <c r="H1360" s="6" t="s">
        <v>11</v>
      </c>
    </row>
    <row r="1361" spans="1:8" x14ac:dyDescent="0.25">
      <c r="A1361" s="4" t="s">
        <v>4006</v>
      </c>
      <c r="B1361" s="4" t="s">
        <v>140</v>
      </c>
      <c r="C1361" s="5">
        <v>30</v>
      </c>
      <c r="D1361" s="5">
        <v>7.91</v>
      </c>
      <c r="F1361" s="4" t="s">
        <v>35</v>
      </c>
      <c r="G1361" s="4" t="s">
        <v>4007</v>
      </c>
      <c r="H1361" s="6" t="s">
        <v>11</v>
      </c>
    </row>
    <row r="1362" spans="1:8" x14ac:dyDescent="0.25">
      <c r="A1362" s="4" t="str">
        <f>"PAO COM BOLINHO - TAP "</f>
        <v xml:space="preserve">PAO COM BOLINHO - TAP </v>
      </c>
      <c r="B1362" s="4" t="s">
        <v>140</v>
      </c>
      <c r="C1362" s="5">
        <v>38</v>
      </c>
      <c r="D1362" s="5">
        <v>9.65</v>
      </c>
      <c r="F1362" s="4" t="s">
        <v>35</v>
      </c>
      <c r="G1362" s="4" t="s">
        <v>4008</v>
      </c>
      <c r="H1362" s="6" t="s">
        <v>11</v>
      </c>
    </row>
    <row r="1363" spans="1:8" x14ac:dyDescent="0.25">
      <c r="A1363" s="4" t="s">
        <v>4117</v>
      </c>
      <c r="B1363" s="4" t="s">
        <v>140</v>
      </c>
      <c r="C1363" s="5">
        <v>34</v>
      </c>
      <c r="D1363" s="5">
        <v>13.57</v>
      </c>
      <c r="F1363" s="4" t="s">
        <v>9</v>
      </c>
      <c r="G1363" s="4" t="s">
        <v>4118</v>
      </c>
      <c r="H1363" s="6" t="s">
        <v>11</v>
      </c>
    </row>
    <row r="1364" spans="1:8" x14ac:dyDescent="0.25">
      <c r="A1364" s="4" t="s">
        <v>4123</v>
      </c>
      <c r="B1364" s="4" t="s">
        <v>140</v>
      </c>
      <c r="C1364" s="5">
        <v>34</v>
      </c>
      <c r="D1364" s="5">
        <v>10.99</v>
      </c>
      <c r="F1364" s="4" t="s">
        <v>9</v>
      </c>
      <c r="G1364" s="4" t="s">
        <v>4124</v>
      </c>
      <c r="H1364" s="6" t="s">
        <v>11</v>
      </c>
    </row>
    <row r="1365" spans="1:8" x14ac:dyDescent="0.25">
      <c r="A1365" s="4" t="s">
        <v>4125</v>
      </c>
      <c r="B1365" s="4" t="s">
        <v>140</v>
      </c>
      <c r="C1365" s="5">
        <v>86</v>
      </c>
      <c r="D1365" s="5">
        <v>9.7200000000000006</v>
      </c>
      <c r="F1365" s="4" t="s">
        <v>9</v>
      </c>
      <c r="G1365" s="4" t="s">
        <v>4126</v>
      </c>
      <c r="H1365" s="6" t="s">
        <v>11</v>
      </c>
    </row>
    <row r="1366" spans="1:8" x14ac:dyDescent="0.25">
      <c r="A1366" s="4" t="s">
        <v>4127</v>
      </c>
      <c r="B1366" s="4" t="s">
        <v>140</v>
      </c>
      <c r="C1366" s="5">
        <v>32</v>
      </c>
      <c r="D1366" s="5">
        <v>10.31</v>
      </c>
      <c r="F1366" s="4" t="s">
        <v>9</v>
      </c>
      <c r="G1366" s="4" t="s">
        <v>4128</v>
      </c>
      <c r="H1366" s="6" t="s">
        <v>11</v>
      </c>
    </row>
    <row r="1367" spans="1:8" x14ac:dyDescent="0.25">
      <c r="A1367" s="4" t="s">
        <v>4129</v>
      </c>
      <c r="B1367" s="4" t="s">
        <v>140</v>
      </c>
      <c r="C1367" s="5">
        <v>86</v>
      </c>
      <c r="D1367" s="5">
        <v>10.25</v>
      </c>
      <c r="F1367" s="4" t="s">
        <v>9</v>
      </c>
      <c r="G1367" s="4" t="s">
        <v>4130</v>
      </c>
      <c r="H1367" s="6" t="s">
        <v>11</v>
      </c>
    </row>
    <row r="1368" spans="1:8" x14ac:dyDescent="0.25">
      <c r="A1368" s="4" t="s">
        <v>684</v>
      </c>
      <c r="B1368" s="4" t="s">
        <v>685</v>
      </c>
      <c r="C1368" s="5">
        <v>36</v>
      </c>
      <c r="D1368" s="5">
        <v>9.64</v>
      </c>
      <c r="F1368" s="4" t="s">
        <v>9</v>
      </c>
      <c r="G1368" s="4" t="s">
        <v>686</v>
      </c>
      <c r="H1368" s="6" t="s">
        <v>11</v>
      </c>
    </row>
    <row r="1369" spans="1:8" x14ac:dyDescent="0.25">
      <c r="A1369" s="4" t="s">
        <v>2269</v>
      </c>
      <c r="B1369" s="4" t="s">
        <v>685</v>
      </c>
      <c r="C1369" s="5">
        <v>38</v>
      </c>
      <c r="D1369" s="5">
        <v>13.53</v>
      </c>
      <c r="F1369" s="4" t="s">
        <v>9</v>
      </c>
      <c r="G1369" s="4" t="s">
        <v>2270</v>
      </c>
      <c r="H1369" s="6" t="s">
        <v>11</v>
      </c>
    </row>
    <row r="1370" spans="1:8" x14ac:dyDescent="0.25">
      <c r="A1370" s="4" t="s">
        <v>2429</v>
      </c>
      <c r="B1370" s="4" t="s">
        <v>685</v>
      </c>
      <c r="C1370" s="5">
        <v>32</v>
      </c>
      <c r="D1370" s="5">
        <v>11.95</v>
      </c>
      <c r="F1370" s="4" t="s">
        <v>9</v>
      </c>
      <c r="G1370" s="4" t="s">
        <v>2430</v>
      </c>
      <c r="H1370" s="6" t="s">
        <v>11</v>
      </c>
    </row>
    <row r="1371" spans="1:8" x14ac:dyDescent="0.25">
      <c r="A1371" s="4" t="s">
        <v>3013</v>
      </c>
      <c r="B1371" s="4" t="s">
        <v>685</v>
      </c>
      <c r="C1371" s="5">
        <v>36</v>
      </c>
      <c r="D1371" s="5">
        <v>3.81</v>
      </c>
      <c r="F1371" s="4" t="s">
        <v>9</v>
      </c>
      <c r="G1371" s="4" t="s">
        <v>3014</v>
      </c>
      <c r="H1371" s="6" t="s">
        <v>11</v>
      </c>
    </row>
    <row r="1372" spans="1:8" x14ac:dyDescent="0.25">
      <c r="A1372" s="4" t="s">
        <v>3035</v>
      </c>
      <c r="B1372" s="4" t="s">
        <v>685</v>
      </c>
      <c r="C1372" s="5">
        <v>38</v>
      </c>
      <c r="D1372" s="5">
        <v>11.59</v>
      </c>
      <c r="F1372" s="4" t="s">
        <v>9</v>
      </c>
      <c r="G1372" s="4" t="s">
        <v>3036</v>
      </c>
      <c r="H1372" s="6" t="s">
        <v>11</v>
      </c>
    </row>
    <row r="1373" spans="1:8" x14ac:dyDescent="0.25">
      <c r="A1373" s="4" t="s">
        <v>3922</v>
      </c>
      <c r="B1373" s="4" t="s">
        <v>685</v>
      </c>
      <c r="C1373" s="5">
        <v>32</v>
      </c>
      <c r="D1373" s="5">
        <v>5.55</v>
      </c>
      <c r="F1373" s="4" t="s">
        <v>9</v>
      </c>
      <c r="G1373" s="4" t="s">
        <v>3923</v>
      </c>
      <c r="H1373" s="6" t="s">
        <v>11</v>
      </c>
    </row>
    <row r="1374" spans="1:8" x14ac:dyDescent="0.25">
      <c r="A1374" s="4" t="s">
        <v>4050</v>
      </c>
      <c r="B1374" s="4" t="s">
        <v>685</v>
      </c>
      <c r="C1374" s="5">
        <v>37</v>
      </c>
      <c r="D1374" s="5">
        <v>18.059999999999999</v>
      </c>
      <c r="F1374" s="4" t="s">
        <v>9</v>
      </c>
      <c r="G1374" s="4" t="s">
        <v>4051</v>
      </c>
      <c r="H1374" s="6" t="s">
        <v>11</v>
      </c>
    </row>
    <row r="1375" spans="1:8" x14ac:dyDescent="0.25">
      <c r="A1375" s="4" t="s">
        <v>4058</v>
      </c>
      <c r="B1375" s="4" t="s">
        <v>685</v>
      </c>
      <c r="C1375" s="5">
        <v>32</v>
      </c>
      <c r="D1375" s="5">
        <v>9.6</v>
      </c>
      <c r="F1375" s="4" t="s">
        <v>9</v>
      </c>
      <c r="G1375" s="4" t="s">
        <v>4059</v>
      </c>
      <c r="H1375" s="6" t="s">
        <v>11</v>
      </c>
    </row>
    <row r="1376" spans="1:8" x14ac:dyDescent="0.25">
      <c r="A1376" s="4" t="s">
        <v>4338</v>
      </c>
      <c r="B1376" s="4" t="s">
        <v>685</v>
      </c>
      <c r="C1376" s="5">
        <v>42</v>
      </c>
      <c r="D1376" s="5">
        <v>14.02</v>
      </c>
      <c r="F1376" s="4" t="s">
        <v>9</v>
      </c>
      <c r="G1376" s="4" t="s">
        <v>4339</v>
      </c>
      <c r="H1376" s="6" t="s">
        <v>11</v>
      </c>
    </row>
    <row r="1377" spans="1:8" x14ac:dyDescent="0.25">
      <c r="A1377" s="4" t="s">
        <v>149</v>
      </c>
      <c r="B1377" s="4" t="s">
        <v>150</v>
      </c>
      <c r="C1377" s="5">
        <v>55</v>
      </c>
      <c r="D1377" s="5">
        <v>16.63</v>
      </c>
      <c r="F1377" s="4" t="s">
        <v>9</v>
      </c>
      <c r="G1377" s="4" t="s">
        <v>151</v>
      </c>
      <c r="H1377" s="6" t="s">
        <v>11</v>
      </c>
    </row>
    <row r="1378" spans="1:8" x14ac:dyDescent="0.25">
      <c r="A1378" s="4" t="s">
        <v>281</v>
      </c>
      <c r="B1378" s="4" t="s">
        <v>150</v>
      </c>
      <c r="C1378" s="5">
        <v>32.9</v>
      </c>
      <c r="D1378" s="5">
        <v>14.56</v>
      </c>
      <c r="F1378" s="4" t="s">
        <v>9</v>
      </c>
      <c r="G1378" s="4" t="s">
        <v>282</v>
      </c>
      <c r="H1378" s="6" t="s">
        <v>11</v>
      </c>
    </row>
    <row r="1379" spans="1:8" x14ac:dyDescent="0.25">
      <c r="A1379" s="4" t="s">
        <v>664</v>
      </c>
      <c r="B1379" s="4" t="s">
        <v>150</v>
      </c>
      <c r="C1379" s="5">
        <v>38.9</v>
      </c>
      <c r="D1379" s="5">
        <v>11.83</v>
      </c>
      <c r="F1379" s="4" t="s">
        <v>9</v>
      </c>
      <c r="G1379" s="4" t="s">
        <v>665</v>
      </c>
      <c r="H1379" s="6" t="s">
        <v>11</v>
      </c>
    </row>
    <row r="1380" spans="1:8" x14ac:dyDescent="0.25">
      <c r="A1380" s="4" t="s">
        <v>2789</v>
      </c>
      <c r="B1380" s="4" t="s">
        <v>150</v>
      </c>
      <c r="C1380" s="5">
        <v>68</v>
      </c>
      <c r="D1380" s="5">
        <v>23.48</v>
      </c>
      <c r="F1380" s="4" t="s">
        <v>9</v>
      </c>
      <c r="G1380" s="4" t="s">
        <v>2790</v>
      </c>
      <c r="H1380" s="6" t="s">
        <v>11</v>
      </c>
    </row>
    <row r="1381" spans="1:8" x14ac:dyDescent="0.25">
      <c r="A1381" s="4" t="s">
        <v>2819</v>
      </c>
      <c r="B1381" s="4" t="s">
        <v>150</v>
      </c>
      <c r="C1381" s="5">
        <v>159.9</v>
      </c>
      <c r="D1381" s="5">
        <v>52.6</v>
      </c>
      <c r="F1381" s="4" t="s">
        <v>9</v>
      </c>
      <c r="G1381" s="4" t="s">
        <v>2820</v>
      </c>
      <c r="H1381" s="6" t="s">
        <v>11</v>
      </c>
    </row>
    <row r="1382" spans="1:8" x14ac:dyDescent="0.25">
      <c r="A1382" s="4" t="str">
        <f>"FESTIVAL PARMEGIANA BERINJELA "</f>
        <v xml:space="preserve">FESTIVAL PARMEGIANA BERINJELA </v>
      </c>
      <c r="B1382" s="4" t="s">
        <v>150</v>
      </c>
      <c r="C1382" s="5">
        <v>74.900000000000006</v>
      </c>
      <c r="D1382" s="5">
        <v>14.56</v>
      </c>
      <c r="F1382" s="4" t="s">
        <v>9</v>
      </c>
      <c r="G1382" s="4" t="s">
        <v>2986</v>
      </c>
      <c r="H1382" s="6" t="s">
        <v>11</v>
      </c>
    </row>
    <row r="1383" spans="1:8" x14ac:dyDescent="0.25">
      <c r="A1383" s="4" t="s">
        <v>2987</v>
      </c>
      <c r="B1383" s="4" t="s">
        <v>150</v>
      </c>
      <c r="C1383" s="5">
        <v>74.900000000000006</v>
      </c>
      <c r="D1383" s="5">
        <v>25.52</v>
      </c>
      <c r="F1383" s="4" t="s">
        <v>9</v>
      </c>
      <c r="G1383" s="4" t="s">
        <v>2988</v>
      </c>
      <c r="H1383" s="6" t="s">
        <v>11</v>
      </c>
    </row>
    <row r="1384" spans="1:8" x14ac:dyDescent="0.25">
      <c r="A1384" s="4" t="s">
        <v>2992</v>
      </c>
      <c r="B1384" s="4" t="s">
        <v>150</v>
      </c>
      <c r="C1384" s="5">
        <v>58</v>
      </c>
      <c r="D1384" s="5">
        <v>15.68</v>
      </c>
      <c r="F1384" s="4" t="s">
        <v>9</v>
      </c>
      <c r="G1384" s="4" t="s">
        <v>2993</v>
      </c>
      <c r="H1384" s="6" t="s">
        <v>11</v>
      </c>
    </row>
    <row r="1385" spans="1:8" x14ac:dyDescent="0.25">
      <c r="A1385" s="4" t="s">
        <v>3264</v>
      </c>
      <c r="B1385" s="4" t="s">
        <v>150</v>
      </c>
      <c r="C1385" s="5">
        <v>197</v>
      </c>
      <c r="D1385" s="5">
        <v>56.19</v>
      </c>
      <c r="F1385" s="4" t="s">
        <v>9</v>
      </c>
      <c r="G1385" s="4" t="s">
        <v>3265</v>
      </c>
      <c r="H1385" s="6" t="s">
        <v>11</v>
      </c>
    </row>
    <row r="1386" spans="1:8" x14ac:dyDescent="0.25">
      <c r="A1386" s="4" t="s">
        <v>3948</v>
      </c>
      <c r="B1386" s="4" t="s">
        <v>150</v>
      </c>
      <c r="C1386" s="5">
        <v>39</v>
      </c>
      <c r="D1386" s="5">
        <v>7.37</v>
      </c>
      <c r="F1386" s="4" t="s">
        <v>9</v>
      </c>
      <c r="G1386" s="4" t="s">
        <v>3949</v>
      </c>
      <c r="H1386" s="6" t="s">
        <v>11</v>
      </c>
    </row>
    <row r="1387" spans="1:8" x14ac:dyDescent="0.25">
      <c r="A1387" s="4" t="s">
        <v>3950</v>
      </c>
      <c r="B1387" s="4" t="s">
        <v>150</v>
      </c>
      <c r="C1387" s="5">
        <v>32</v>
      </c>
      <c r="D1387" s="5">
        <v>4.32</v>
      </c>
      <c r="F1387" s="4" t="s">
        <v>9</v>
      </c>
      <c r="G1387" s="4" t="s">
        <v>3951</v>
      </c>
      <c r="H1387" s="6" t="s">
        <v>11</v>
      </c>
    </row>
    <row r="1388" spans="1:8" x14ac:dyDescent="0.25">
      <c r="A1388" s="4" t="s">
        <v>4036</v>
      </c>
      <c r="B1388" s="4" t="s">
        <v>150</v>
      </c>
      <c r="C1388" s="5">
        <v>46</v>
      </c>
      <c r="D1388" s="5">
        <v>12.65</v>
      </c>
      <c r="F1388" s="4" t="s">
        <v>9</v>
      </c>
      <c r="G1388" s="4" t="s">
        <v>4037</v>
      </c>
      <c r="H1388" s="6" t="s">
        <v>11</v>
      </c>
    </row>
    <row r="1389" spans="1:8" x14ac:dyDescent="0.25">
      <c r="A1389" s="4" t="s">
        <v>4038</v>
      </c>
      <c r="B1389" s="4" t="s">
        <v>150</v>
      </c>
      <c r="C1389" s="5">
        <v>46</v>
      </c>
      <c r="D1389" s="5">
        <v>12.9</v>
      </c>
      <c r="F1389" s="4" t="s">
        <v>9</v>
      </c>
      <c r="G1389" s="4" t="s">
        <v>4039</v>
      </c>
      <c r="H1389" s="6" t="s">
        <v>11</v>
      </c>
    </row>
    <row r="1390" spans="1:8" x14ac:dyDescent="0.25">
      <c r="A1390" s="4" t="s">
        <v>4040</v>
      </c>
      <c r="B1390" s="4" t="s">
        <v>150</v>
      </c>
      <c r="C1390" s="5">
        <v>69</v>
      </c>
      <c r="D1390" s="5">
        <v>23.44</v>
      </c>
      <c r="F1390" s="4" t="s">
        <v>9</v>
      </c>
      <c r="G1390" s="4" t="s">
        <v>4041</v>
      </c>
      <c r="H1390" s="6" t="s">
        <v>11</v>
      </c>
    </row>
    <row r="1391" spans="1:8" x14ac:dyDescent="0.25">
      <c r="A1391" s="4" t="s">
        <v>4042</v>
      </c>
      <c r="B1391" s="4" t="s">
        <v>150</v>
      </c>
      <c r="C1391" s="5">
        <v>139</v>
      </c>
      <c r="D1391" s="5">
        <v>35.409999999999997</v>
      </c>
      <c r="F1391" s="4" t="s">
        <v>9</v>
      </c>
      <c r="G1391" s="4" t="s">
        <v>4043</v>
      </c>
      <c r="H1391" s="6" t="s">
        <v>11</v>
      </c>
    </row>
    <row r="1392" spans="1:8" x14ac:dyDescent="0.25">
      <c r="A1392" s="4" t="s">
        <v>4044</v>
      </c>
      <c r="B1392" s="4" t="s">
        <v>150</v>
      </c>
      <c r="C1392" s="5">
        <v>137.9</v>
      </c>
      <c r="D1392" s="5">
        <v>46.3</v>
      </c>
      <c r="F1392" s="4" t="s">
        <v>9</v>
      </c>
      <c r="G1392" s="4" t="s">
        <v>4045</v>
      </c>
      <c r="H1392" s="6" t="s">
        <v>11</v>
      </c>
    </row>
    <row r="1393" spans="1:8" x14ac:dyDescent="0.25">
      <c r="A1393" s="4" t="s">
        <v>4075</v>
      </c>
      <c r="B1393" s="4" t="s">
        <v>150</v>
      </c>
      <c r="C1393" s="5">
        <v>49</v>
      </c>
      <c r="D1393" s="5">
        <v>15.31</v>
      </c>
      <c r="F1393" s="4" t="s">
        <v>9</v>
      </c>
      <c r="G1393" s="4" t="s">
        <v>4076</v>
      </c>
      <c r="H1393" s="6" t="s">
        <v>11</v>
      </c>
    </row>
    <row r="1394" spans="1:8" x14ac:dyDescent="0.25">
      <c r="A1394" s="4" t="s">
        <v>4173</v>
      </c>
      <c r="B1394" s="4" t="s">
        <v>150</v>
      </c>
      <c r="C1394" s="5">
        <v>89</v>
      </c>
      <c r="D1394" s="5">
        <v>33.200000000000003</v>
      </c>
      <c r="F1394" s="4" t="s">
        <v>9</v>
      </c>
      <c r="G1394" s="4" t="s">
        <v>4174</v>
      </c>
      <c r="H1394" s="6" t="s">
        <v>11</v>
      </c>
    </row>
    <row r="1395" spans="1:8" x14ac:dyDescent="0.25">
      <c r="A1395" s="4" t="s">
        <v>4175</v>
      </c>
      <c r="B1395" s="4" t="s">
        <v>150</v>
      </c>
      <c r="C1395" s="5">
        <v>62</v>
      </c>
      <c r="D1395" s="5">
        <v>18.73</v>
      </c>
      <c r="F1395" s="4" t="s">
        <v>9</v>
      </c>
      <c r="G1395" s="4" t="s">
        <v>4176</v>
      </c>
      <c r="H1395" s="6" t="s">
        <v>11</v>
      </c>
    </row>
    <row r="1396" spans="1:8" x14ac:dyDescent="0.25">
      <c r="A1396" s="4" t="s">
        <v>4285</v>
      </c>
      <c r="B1396" s="4" t="s">
        <v>150</v>
      </c>
      <c r="C1396" s="5">
        <v>46</v>
      </c>
      <c r="D1396" s="5">
        <v>23.43</v>
      </c>
      <c r="F1396" s="4" t="s">
        <v>9</v>
      </c>
      <c r="G1396" s="4" t="s">
        <v>4286</v>
      </c>
      <c r="H1396" s="6" t="s">
        <v>11</v>
      </c>
    </row>
    <row r="1397" spans="1:8" x14ac:dyDescent="0.25">
      <c r="A1397" s="4" t="s">
        <v>4287</v>
      </c>
      <c r="B1397" s="4" t="s">
        <v>150</v>
      </c>
      <c r="C1397" s="5">
        <v>46</v>
      </c>
      <c r="D1397" s="5">
        <v>20.93</v>
      </c>
      <c r="F1397" s="4" t="s">
        <v>9</v>
      </c>
      <c r="G1397" s="4" t="s">
        <v>4288</v>
      </c>
      <c r="H1397" s="6" t="s">
        <v>11</v>
      </c>
    </row>
    <row r="1398" spans="1:8" x14ac:dyDescent="0.25">
      <c r="A1398" s="4" t="s">
        <v>4422</v>
      </c>
      <c r="B1398" s="4" t="s">
        <v>150</v>
      </c>
      <c r="C1398" s="5">
        <v>34</v>
      </c>
      <c r="D1398" s="5">
        <v>6.91</v>
      </c>
      <c r="F1398" s="4" t="s">
        <v>9</v>
      </c>
      <c r="G1398" s="4" t="s">
        <v>4423</v>
      </c>
      <c r="H1398" s="6" t="s">
        <v>11</v>
      </c>
    </row>
    <row r="1399" spans="1:8" x14ac:dyDescent="0.25">
      <c r="A1399" s="4" t="s">
        <v>4461</v>
      </c>
      <c r="B1399" s="4" t="s">
        <v>150</v>
      </c>
      <c r="C1399" s="5">
        <v>36.9</v>
      </c>
      <c r="D1399" s="5">
        <v>9.07</v>
      </c>
      <c r="F1399" s="4" t="s">
        <v>35</v>
      </c>
      <c r="G1399" s="4" t="s">
        <v>4462</v>
      </c>
      <c r="H1399" s="6" t="s">
        <v>11</v>
      </c>
    </row>
    <row r="1400" spans="1:8" x14ac:dyDescent="0.25">
      <c r="A1400" s="4" t="s">
        <v>4463</v>
      </c>
      <c r="B1400" s="4" t="s">
        <v>150</v>
      </c>
      <c r="C1400" s="5">
        <v>42</v>
      </c>
      <c r="D1400" s="5">
        <v>7.92</v>
      </c>
      <c r="F1400" s="4" t="s">
        <v>9</v>
      </c>
      <c r="G1400" s="4" t="s">
        <v>4464</v>
      </c>
      <c r="H1400" s="6" t="s">
        <v>11</v>
      </c>
    </row>
    <row r="1401" spans="1:8" x14ac:dyDescent="0.25">
      <c r="A1401" s="4" t="s">
        <v>4483</v>
      </c>
      <c r="B1401" s="4" t="s">
        <v>150</v>
      </c>
      <c r="C1401" s="5">
        <v>55</v>
      </c>
      <c r="D1401" s="5">
        <v>12.83</v>
      </c>
      <c r="F1401" s="4" t="s">
        <v>9</v>
      </c>
      <c r="G1401" s="4" t="s">
        <v>4484</v>
      </c>
      <c r="H1401" s="6" t="s">
        <v>11</v>
      </c>
    </row>
    <row r="1402" spans="1:8" x14ac:dyDescent="0.25">
      <c r="A1402" s="4" t="s">
        <v>4617</v>
      </c>
      <c r="B1402" s="4" t="s">
        <v>150</v>
      </c>
      <c r="C1402" s="5">
        <v>58.9</v>
      </c>
      <c r="D1402" s="5">
        <v>17.97</v>
      </c>
      <c r="F1402" s="4" t="s">
        <v>9</v>
      </c>
      <c r="G1402" s="4" t="s">
        <v>4618</v>
      </c>
      <c r="H1402" s="6" t="s">
        <v>11</v>
      </c>
    </row>
    <row r="1403" spans="1:8" x14ac:dyDescent="0.25">
      <c r="A1403" s="4" t="str">
        <f>" ACOMPANHAMENTO BATATA FRITA"</f>
        <v xml:space="preserve"> ACOMPANHAMENTO BATATA FRITA</v>
      </c>
      <c r="B1403" s="4" t="s">
        <v>8</v>
      </c>
      <c r="C1403" s="5">
        <v>8.9</v>
      </c>
      <c r="D1403" s="5">
        <v>3.06</v>
      </c>
      <c r="F1403" s="4" t="s">
        <v>9</v>
      </c>
      <c r="G1403" s="4" t="s">
        <v>10</v>
      </c>
      <c r="H1403" s="6" t="s">
        <v>11</v>
      </c>
    </row>
    <row r="1404" spans="1:8" x14ac:dyDescent="0.25">
      <c r="A1404" s="4" t="s">
        <v>180</v>
      </c>
      <c r="B1404" s="4" t="s">
        <v>8</v>
      </c>
      <c r="C1404" s="5">
        <v>8.9</v>
      </c>
      <c r="D1404" s="5">
        <v>1.45</v>
      </c>
      <c r="F1404" s="4" t="s">
        <v>9</v>
      </c>
      <c r="G1404" s="4" t="s">
        <v>181</v>
      </c>
      <c r="H1404" s="6" t="s">
        <v>11</v>
      </c>
    </row>
    <row r="1405" spans="1:8" x14ac:dyDescent="0.25">
      <c r="A1405" s="4" t="s">
        <v>182</v>
      </c>
      <c r="B1405" s="4" t="s">
        <v>8</v>
      </c>
      <c r="C1405" s="5">
        <v>8.9</v>
      </c>
      <c r="D1405" s="5">
        <v>2.9</v>
      </c>
      <c r="F1405" s="4" t="s">
        <v>9</v>
      </c>
      <c r="G1405" s="4" t="s">
        <v>183</v>
      </c>
      <c r="H1405" s="6" t="s">
        <v>11</v>
      </c>
    </row>
    <row r="1406" spans="1:8" x14ac:dyDescent="0.25">
      <c r="A1406" s="4" t="s">
        <v>185</v>
      </c>
      <c r="B1406" s="4" t="s">
        <v>8</v>
      </c>
      <c r="C1406" s="5">
        <v>8.9</v>
      </c>
      <c r="D1406" s="5">
        <v>3.43</v>
      </c>
      <c r="F1406" s="4" t="s">
        <v>9</v>
      </c>
      <c r="G1406" s="4" t="s">
        <v>186</v>
      </c>
      <c r="H1406" s="6" t="s">
        <v>11</v>
      </c>
    </row>
    <row r="1407" spans="1:8" x14ac:dyDescent="0.25">
      <c r="A1407" s="4" t="s">
        <v>259</v>
      </c>
      <c r="B1407" s="4" t="s">
        <v>8</v>
      </c>
      <c r="C1407" s="5">
        <v>8.9</v>
      </c>
      <c r="D1407" s="5">
        <v>6.12</v>
      </c>
      <c r="F1407" s="4" t="s">
        <v>9</v>
      </c>
      <c r="G1407" s="4" t="s">
        <v>260</v>
      </c>
      <c r="H1407" s="6" t="s">
        <v>11</v>
      </c>
    </row>
    <row r="1408" spans="1:8" x14ac:dyDescent="0.25">
      <c r="A1408" s="4" t="str">
        <f>"BIFE ANCHO RED ANGUS (200G) "</f>
        <v xml:space="preserve">BIFE ANCHO RED ANGUS (200G) </v>
      </c>
      <c r="B1408" s="4" t="s">
        <v>8</v>
      </c>
      <c r="C1408" s="5">
        <v>25</v>
      </c>
      <c r="D1408" s="5">
        <v>11.63</v>
      </c>
      <c r="F1408" s="4" t="s">
        <v>9</v>
      </c>
      <c r="G1408" s="4" t="s">
        <v>312</v>
      </c>
      <c r="H1408" s="6" t="s">
        <v>11</v>
      </c>
    </row>
    <row r="1409" spans="1:8" x14ac:dyDescent="0.25">
      <c r="A1409" s="4" t="s">
        <v>314</v>
      </c>
      <c r="B1409" s="4" t="s">
        <v>8</v>
      </c>
      <c r="C1409" s="5">
        <v>18</v>
      </c>
      <c r="D1409" s="5">
        <v>11.63</v>
      </c>
      <c r="F1409" s="4" t="s">
        <v>9</v>
      </c>
      <c r="G1409" s="4" t="s">
        <v>315</v>
      </c>
      <c r="H1409" s="6" t="s">
        <v>11</v>
      </c>
    </row>
    <row r="1410" spans="1:8" x14ac:dyDescent="0.25">
      <c r="A1410" s="4" t="s">
        <v>2965</v>
      </c>
      <c r="B1410" s="4" t="s">
        <v>8</v>
      </c>
      <c r="C1410" s="5">
        <v>8.9</v>
      </c>
      <c r="D1410" s="5">
        <v>0.87</v>
      </c>
      <c r="F1410" s="4" t="s">
        <v>9</v>
      </c>
      <c r="G1410" s="4" t="s">
        <v>2966</v>
      </c>
      <c r="H1410" s="6" t="s">
        <v>11</v>
      </c>
    </row>
    <row r="1411" spans="1:8" x14ac:dyDescent="0.25">
      <c r="A1411" s="4" t="s">
        <v>2967</v>
      </c>
      <c r="B1411" s="4" t="s">
        <v>8</v>
      </c>
      <c r="C1411" s="5">
        <v>8.9</v>
      </c>
      <c r="D1411" s="5">
        <v>1.74</v>
      </c>
      <c r="F1411" s="4" t="s">
        <v>9</v>
      </c>
      <c r="G1411" s="4" t="s">
        <v>2968</v>
      </c>
      <c r="H1411" s="6" t="s">
        <v>11</v>
      </c>
    </row>
    <row r="1412" spans="1:8" x14ac:dyDescent="0.25">
      <c r="A1412" s="4" t="s">
        <v>2974</v>
      </c>
      <c r="B1412" s="4" t="s">
        <v>8</v>
      </c>
      <c r="C1412" s="5">
        <v>8.9</v>
      </c>
      <c r="D1412" s="5">
        <v>0.76</v>
      </c>
      <c r="F1412" s="4" t="s">
        <v>9</v>
      </c>
      <c r="G1412" s="4" t="s">
        <v>2975</v>
      </c>
      <c r="H1412" s="6" t="s">
        <v>11</v>
      </c>
    </row>
    <row r="1413" spans="1:8" x14ac:dyDescent="0.25">
      <c r="A1413" s="4" t="s">
        <v>3281</v>
      </c>
      <c r="B1413" s="4" t="s">
        <v>8</v>
      </c>
      <c r="C1413" s="5">
        <v>8.9</v>
      </c>
      <c r="D1413" s="5">
        <v>1.18</v>
      </c>
      <c r="F1413" s="4" t="s">
        <v>9</v>
      </c>
      <c r="G1413" s="4" t="s">
        <v>3282</v>
      </c>
      <c r="H1413" s="6" t="s">
        <v>11</v>
      </c>
    </row>
    <row r="1414" spans="1:8" x14ac:dyDescent="0.25">
      <c r="A1414" s="4" t="s">
        <v>3283</v>
      </c>
      <c r="B1414" s="4" t="s">
        <v>8</v>
      </c>
      <c r="C1414" s="5">
        <v>8.9</v>
      </c>
      <c r="D1414" s="5">
        <v>2.36</v>
      </c>
      <c r="F1414" s="4" t="s">
        <v>9</v>
      </c>
      <c r="G1414" s="4" t="s">
        <v>3284</v>
      </c>
      <c r="H1414" s="6" t="s">
        <v>11</v>
      </c>
    </row>
    <row r="1415" spans="1:8" x14ac:dyDescent="0.25">
      <c r="A1415" s="4" t="s">
        <v>3421</v>
      </c>
      <c r="B1415" s="4" t="s">
        <v>8</v>
      </c>
      <c r="C1415" s="5">
        <v>8.9</v>
      </c>
      <c r="D1415" s="5">
        <v>4.0599999999999996</v>
      </c>
      <c r="F1415" s="4" t="s">
        <v>9</v>
      </c>
      <c r="G1415" s="4" t="s">
        <v>3422</v>
      </c>
      <c r="H1415" s="6" t="s">
        <v>11</v>
      </c>
    </row>
    <row r="1416" spans="1:8" x14ac:dyDescent="0.25">
      <c r="A1416" s="4" t="s">
        <v>3831</v>
      </c>
      <c r="B1416" s="4" t="s">
        <v>8</v>
      </c>
      <c r="D1416" s="5">
        <v>5.04</v>
      </c>
      <c r="F1416" s="4" t="s">
        <v>9</v>
      </c>
      <c r="G1416" s="4" t="s">
        <v>3832</v>
      </c>
      <c r="H1416" s="6" t="s">
        <v>11</v>
      </c>
    </row>
    <row r="1417" spans="1:8" x14ac:dyDescent="0.25">
      <c r="A1417" s="4" t="s">
        <v>3837</v>
      </c>
      <c r="B1417" s="4" t="s">
        <v>8</v>
      </c>
      <c r="D1417" s="5">
        <v>12.41</v>
      </c>
      <c r="E1417" s="5">
        <v>-0.248</v>
      </c>
      <c r="F1417" s="4" t="s">
        <v>35</v>
      </c>
      <c r="G1417" s="4" t="s">
        <v>3838</v>
      </c>
      <c r="H1417" s="6" t="s">
        <v>11</v>
      </c>
    </row>
    <row r="1418" spans="1:8" x14ac:dyDescent="0.25">
      <c r="A1418" s="4" t="s">
        <v>3962</v>
      </c>
      <c r="B1418" s="4" t="s">
        <v>8</v>
      </c>
      <c r="C1418" s="5">
        <v>8.9</v>
      </c>
      <c r="D1418" s="5">
        <v>0.8</v>
      </c>
      <c r="F1418" s="4" t="s">
        <v>9</v>
      </c>
      <c r="G1418" s="4" t="s">
        <v>3963</v>
      </c>
      <c r="H1418" s="6" t="s">
        <v>11</v>
      </c>
    </row>
    <row r="1419" spans="1:8" x14ac:dyDescent="0.25">
      <c r="A1419" s="4" t="s">
        <v>4424</v>
      </c>
      <c r="B1419" s="4" t="s">
        <v>8</v>
      </c>
      <c r="C1419" s="5">
        <v>8.9</v>
      </c>
      <c r="D1419" s="5">
        <v>3.89</v>
      </c>
      <c r="F1419" s="4" t="s">
        <v>9</v>
      </c>
      <c r="G1419" s="4" t="s">
        <v>4425</v>
      </c>
      <c r="H1419" s="6" t="s">
        <v>11</v>
      </c>
    </row>
    <row r="1420" spans="1:8" x14ac:dyDescent="0.25">
      <c r="A1420" s="4" t="s">
        <v>4465</v>
      </c>
      <c r="B1420" s="4" t="s">
        <v>8</v>
      </c>
      <c r="C1420" s="5">
        <v>12</v>
      </c>
      <c r="D1420" s="5">
        <v>2.92</v>
      </c>
      <c r="F1420" s="4" t="s">
        <v>9</v>
      </c>
      <c r="G1420" s="4" t="s">
        <v>4466</v>
      </c>
      <c r="H1420" s="6" t="s">
        <v>11</v>
      </c>
    </row>
    <row r="1421" spans="1:8" x14ac:dyDescent="0.25">
      <c r="A1421" s="4" t="s">
        <v>79</v>
      </c>
      <c r="B1421" s="4" t="s">
        <v>80</v>
      </c>
      <c r="C1421" s="5">
        <v>8</v>
      </c>
      <c r="D1421" s="5">
        <v>22.71</v>
      </c>
      <c r="E1421" s="5">
        <v>3.6</v>
      </c>
      <c r="F1421" s="4" t="s">
        <v>9</v>
      </c>
      <c r="G1421" s="4" t="s">
        <v>81</v>
      </c>
      <c r="H1421" s="6" t="s">
        <v>11</v>
      </c>
    </row>
    <row r="1422" spans="1:8" x14ac:dyDescent="0.25">
      <c r="A1422" s="4" t="s">
        <v>84</v>
      </c>
      <c r="B1422" s="4" t="s">
        <v>80</v>
      </c>
      <c r="C1422" s="5">
        <v>6</v>
      </c>
      <c r="D1422" s="5">
        <v>1.07</v>
      </c>
      <c r="E1422" s="5">
        <v>713.2</v>
      </c>
      <c r="F1422" s="4" t="s">
        <v>9</v>
      </c>
      <c r="G1422" s="4" t="s">
        <v>85</v>
      </c>
      <c r="H1422" s="6" t="s">
        <v>11</v>
      </c>
    </row>
    <row r="1423" spans="1:8" x14ac:dyDescent="0.25">
      <c r="A1423" s="4" t="s">
        <v>86</v>
      </c>
      <c r="B1423" s="4" t="s">
        <v>80</v>
      </c>
      <c r="C1423" s="5">
        <v>6</v>
      </c>
      <c r="D1423" s="5">
        <v>0.95</v>
      </c>
      <c r="F1423" s="4" t="s">
        <v>9</v>
      </c>
      <c r="G1423" s="4" t="s">
        <v>87</v>
      </c>
      <c r="H1423" s="6" t="s">
        <v>11</v>
      </c>
    </row>
    <row r="1424" spans="1:8" x14ac:dyDescent="0.25">
      <c r="A1424" s="4" t="s">
        <v>92</v>
      </c>
      <c r="B1424" s="4" t="s">
        <v>80</v>
      </c>
      <c r="C1424" s="5">
        <v>6</v>
      </c>
      <c r="D1424" s="5">
        <v>3.05</v>
      </c>
      <c r="E1424" s="5">
        <v>978</v>
      </c>
      <c r="F1424" s="4" t="s">
        <v>9</v>
      </c>
      <c r="G1424" s="4" t="s">
        <v>93</v>
      </c>
      <c r="H1424" s="6" t="s">
        <v>11</v>
      </c>
    </row>
    <row r="1425" spans="1:8" x14ac:dyDescent="0.25">
      <c r="A1425" s="4" t="s">
        <v>94</v>
      </c>
      <c r="B1425" s="4" t="s">
        <v>80</v>
      </c>
      <c r="D1425" s="5">
        <v>2.78</v>
      </c>
      <c r="F1425" s="4" t="s">
        <v>59</v>
      </c>
      <c r="G1425" s="4" t="s">
        <v>95</v>
      </c>
      <c r="H1425" s="6" t="s">
        <v>11</v>
      </c>
    </row>
    <row r="1426" spans="1:8" x14ac:dyDescent="0.25">
      <c r="A1426" s="4" t="str">
        <f>"AGUA TONICA ZERO - ESTOQUE "</f>
        <v xml:space="preserve">AGUA TONICA ZERO - ESTOQUE </v>
      </c>
      <c r="B1426" s="4" t="s">
        <v>80</v>
      </c>
      <c r="C1426" s="5">
        <v>6</v>
      </c>
      <c r="D1426" s="5">
        <v>2.96</v>
      </c>
      <c r="F1426" s="4" t="s">
        <v>9</v>
      </c>
      <c r="G1426" s="4" t="s">
        <v>96</v>
      </c>
      <c r="H1426" s="6" t="s">
        <v>11</v>
      </c>
    </row>
    <row r="1427" spans="1:8" x14ac:dyDescent="0.25">
      <c r="A1427" s="4" t="s">
        <v>2882</v>
      </c>
      <c r="B1427" s="4" t="s">
        <v>80</v>
      </c>
      <c r="C1427" s="5">
        <v>16</v>
      </c>
      <c r="D1427" s="5">
        <v>5.75</v>
      </c>
      <c r="F1427" s="4" t="s">
        <v>9</v>
      </c>
      <c r="G1427" s="4" t="s">
        <v>2883</v>
      </c>
      <c r="H1427" s="6" t="s">
        <v>11</v>
      </c>
    </row>
    <row r="1428" spans="1:8" x14ac:dyDescent="0.25">
      <c r="A1428" s="4" t="s">
        <v>2884</v>
      </c>
      <c r="B1428" s="4" t="s">
        <v>80</v>
      </c>
      <c r="C1428" s="5">
        <v>18</v>
      </c>
      <c r="D1428" s="5">
        <v>7.47</v>
      </c>
      <c r="F1428" s="4" t="s">
        <v>9</v>
      </c>
      <c r="G1428" s="4" t="s">
        <v>2885</v>
      </c>
      <c r="H1428" s="6" t="s">
        <v>11</v>
      </c>
    </row>
    <row r="1429" spans="1:8" x14ac:dyDescent="0.25">
      <c r="A1429" s="4" t="str">
        <f>"ENERGETICO RED BULL ZERO LATA - ESTOQUE TAP "</f>
        <v xml:space="preserve">ENERGETICO RED BULL ZERO LATA - ESTOQUE TAP </v>
      </c>
      <c r="B1429" s="4" t="s">
        <v>80</v>
      </c>
      <c r="C1429" s="5">
        <v>18</v>
      </c>
      <c r="D1429" s="5">
        <v>8.09</v>
      </c>
      <c r="F1429" s="4" t="s">
        <v>9</v>
      </c>
      <c r="G1429" s="4" t="s">
        <v>2886</v>
      </c>
      <c r="H1429" s="6" t="s">
        <v>11</v>
      </c>
    </row>
    <row r="1430" spans="1:8" x14ac:dyDescent="0.25">
      <c r="A1430" s="4" t="str">
        <f>"PRATA GINGER LATA "</f>
        <v xml:space="preserve">PRATA GINGER LATA </v>
      </c>
      <c r="B1430" s="4" t="s">
        <v>80</v>
      </c>
      <c r="C1430" s="5">
        <v>8</v>
      </c>
      <c r="D1430" s="5">
        <v>3.98</v>
      </c>
      <c r="F1430" s="4" t="s">
        <v>9</v>
      </c>
      <c r="G1430" s="4" t="s">
        <v>4162</v>
      </c>
      <c r="H1430" s="6" t="s">
        <v>11</v>
      </c>
    </row>
    <row r="1431" spans="1:8" x14ac:dyDescent="0.25">
      <c r="A1431" s="4" t="str">
        <f>"PRATA GINGER LATA - ESTOQUE TAP "</f>
        <v xml:space="preserve">PRATA GINGER LATA - ESTOQUE TAP </v>
      </c>
      <c r="B1431" s="4" t="s">
        <v>80</v>
      </c>
      <c r="C1431" s="5">
        <v>8</v>
      </c>
      <c r="D1431" s="5">
        <v>3.98</v>
      </c>
      <c r="F1431" s="4" t="s">
        <v>59</v>
      </c>
      <c r="G1431" s="4" t="s">
        <v>4163</v>
      </c>
      <c r="H1431" s="6" t="s">
        <v>11</v>
      </c>
    </row>
    <row r="1432" spans="1:8" x14ac:dyDescent="0.25">
      <c r="A1432" s="4" t="s">
        <v>4301</v>
      </c>
      <c r="B1432" s="4" t="s">
        <v>80</v>
      </c>
      <c r="C1432" s="5">
        <v>6</v>
      </c>
      <c r="D1432" s="5">
        <v>3.29</v>
      </c>
      <c r="F1432" s="4" t="s">
        <v>9</v>
      </c>
      <c r="G1432" s="4" t="s">
        <v>4302</v>
      </c>
      <c r="H1432" s="6" t="s">
        <v>11</v>
      </c>
    </row>
    <row r="1433" spans="1:8" x14ac:dyDescent="0.25">
      <c r="A1433" s="4" t="s">
        <v>4307</v>
      </c>
      <c r="B1433" s="4" t="s">
        <v>80</v>
      </c>
      <c r="C1433" s="5">
        <v>6</v>
      </c>
      <c r="D1433" s="5">
        <v>2.94</v>
      </c>
      <c r="E1433" s="5">
        <v>240</v>
      </c>
      <c r="F1433" s="4" t="s">
        <v>9</v>
      </c>
      <c r="G1433" s="4" t="s">
        <v>4308</v>
      </c>
      <c r="H1433" s="6" t="s">
        <v>11</v>
      </c>
    </row>
    <row r="1434" spans="1:8" x14ac:dyDescent="0.25">
      <c r="A1434" s="4" t="str">
        <f>"REFRIGERANTE DE LIMAO - ESTOQUE TAP "</f>
        <v xml:space="preserve">REFRIGERANTE DE LIMAO - ESTOQUE TAP </v>
      </c>
      <c r="B1434" s="4" t="s">
        <v>80</v>
      </c>
      <c r="D1434" s="5">
        <v>3.01</v>
      </c>
      <c r="F1434" s="4" t="s">
        <v>59</v>
      </c>
      <c r="G1434" s="4" t="s">
        <v>4314</v>
      </c>
      <c r="H1434" s="6" t="s">
        <v>11</v>
      </c>
    </row>
    <row r="1435" spans="1:8" x14ac:dyDescent="0.25">
      <c r="A1435" s="4" t="str">
        <f>"REFRIGERANTE FANTA LARANJA LATA - ESTOQUE TAP "</f>
        <v xml:space="preserve">REFRIGERANTE FANTA LARANJA LATA - ESTOQUE TAP </v>
      </c>
      <c r="B1435" s="4" t="s">
        <v>80</v>
      </c>
      <c r="C1435" s="5">
        <v>6</v>
      </c>
      <c r="D1435" s="5">
        <v>3.42</v>
      </c>
      <c r="F1435" s="4" t="s">
        <v>9</v>
      </c>
      <c r="G1435" s="4" t="s">
        <v>4315</v>
      </c>
      <c r="H1435" s="6" t="s">
        <v>11</v>
      </c>
    </row>
    <row r="1436" spans="1:8" x14ac:dyDescent="0.25">
      <c r="A1436" s="4" t="s">
        <v>4320</v>
      </c>
      <c r="B1436" s="4" t="s">
        <v>80</v>
      </c>
      <c r="C1436" s="5">
        <v>6</v>
      </c>
      <c r="D1436" s="5">
        <v>2.69</v>
      </c>
      <c r="F1436" s="4" t="s">
        <v>9</v>
      </c>
      <c r="G1436" s="4" t="s">
        <v>4321</v>
      </c>
      <c r="H1436" s="6" t="s">
        <v>11</v>
      </c>
    </row>
    <row r="1437" spans="1:8" x14ac:dyDescent="0.25">
      <c r="A1437" s="4" t="str">
        <f>"REFRIGERANTE GUARANA ZERO LATA - ESTOQUE TAP "</f>
        <v xml:space="preserve">REFRIGERANTE GUARANA ZERO LATA - ESTOQUE TAP </v>
      </c>
      <c r="B1437" s="4" t="s">
        <v>80</v>
      </c>
      <c r="C1437" s="5">
        <v>6</v>
      </c>
      <c r="D1437" s="5">
        <v>2.86</v>
      </c>
      <c r="F1437" s="4" t="s">
        <v>9</v>
      </c>
      <c r="G1437" s="4" t="s">
        <v>4322</v>
      </c>
      <c r="H1437" s="6" t="s">
        <v>11</v>
      </c>
    </row>
    <row r="1438" spans="1:8" x14ac:dyDescent="0.25">
      <c r="A1438" s="4" t="s">
        <v>4323</v>
      </c>
      <c r="B1438" s="4" t="s">
        <v>80</v>
      </c>
      <c r="C1438" s="5">
        <v>6</v>
      </c>
      <c r="D1438" s="5">
        <v>3.02</v>
      </c>
      <c r="F1438" s="4" t="s">
        <v>9</v>
      </c>
      <c r="G1438" s="4" t="s">
        <v>4324</v>
      </c>
      <c r="H1438" s="6" t="s">
        <v>11</v>
      </c>
    </row>
    <row r="1439" spans="1:8" x14ac:dyDescent="0.25">
      <c r="A1439" s="4" t="str">
        <f>"SUCO LARANJA MAGUARY  LATA - ESTOQUE TAP "</f>
        <v xml:space="preserve">SUCO LARANJA MAGUARY  LATA - ESTOQUE TAP </v>
      </c>
      <c r="B1439" s="4" t="s">
        <v>80</v>
      </c>
      <c r="C1439" s="5">
        <v>6</v>
      </c>
      <c r="D1439" s="5">
        <v>3.99</v>
      </c>
      <c r="F1439" s="4" t="s">
        <v>9</v>
      </c>
      <c r="G1439" s="4" t="s">
        <v>4500</v>
      </c>
      <c r="H1439" s="6" t="s">
        <v>11</v>
      </c>
    </row>
    <row r="1440" spans="1:8" x14ac:dyDescent="0.25">
      <c r="A1440" s="4" t="s">
        <v>4502</v>
      </c>
      <c r="B1440" s="4" t="s">
        <v>80</v>
      </c>
      <c r="C1440" s="5">
        <v>6</v>
      </c>
      <c r="D1440" s="5">
        <v>3.48</v>
      </c>
      <c r="F1440" s="4" t="s">
        <v>9</v>
      </c>
      <c r="G1440" s="4" t="s">
        <v>4503</v>
      </c>
      <c r="H1440" s="6" t="s">
        <v>11</v>
      </c>
    </row>
    <row r="1441" spans="1:8" x14ac:dyDescent="0.25">
      <c r="A1441" s="4" t="s">
        <v>4504</v>
      </c>
      <c r="B1441" s="4" t="s">
        <v>80</v>
      </c>
      <c r="C1441" s="5">
        <v>6</v>
      </c>
      <c r="D1441" s="5">
        <v>3.49</v>
      </c>
      <c r="F1441" s="4" t="s">
        <v>9</v>
      </c>
      <c r="G1441" s="4" t="s">
        <v>4505</v>
      </c>
      <c r="H1441" s="6" t="s">
        <v>11</v>
      </c>
    </row>
    <row r="1442" spans="1:8" x14ac:dyDescent="0.25">
      <c r="A1442" s="4" t="s">
        <v>30</v>
      </c>
      <c r="B1442" s="4" t="s">
        <v>31</v>
      </c>
      <c r="C1442" s="5">
        <v>25</v>
      </c>
      <c r="D1442" s="5">
        <v>22.45</v>
      </c>
      <c r="F1442" s="4" t="s">
        <v>9</v>
      </c>
      <c r="G1442" s="4" t="s">
        <v>32</v>
      </c>
      <c r="H1442" s="6" t="s">
        <v>11</v>
      </c>
    </row>
    <row r="1443" spans="1:8" x14ac:dyDescent="0.25">
      <c r="A1443" s="4" t="s">
        <v>106</v>
      </c>
      <c r="B1443" s="4" t="s">
        <v>31</v>
      </c>
      <c r="C1443" s="5">
        <v>28</v>
      </c>
      <c r="D1443" s="5">
        <v>11.89</v>
      </c>
      <c r="F1443" s="4" t="s">
        <v>9</v>
      </c>
      <c r="G1443" s="4" t="s">
        <v>107</v>
      </c>
      <c r="H1443" s="6" t="s">
        <v>11</v>
      </c>
    </row>
    <row r="1444" spans="1:8" x14ac:dyDescent="0.25">
      <c r="A1444" s="4" t="s">
        <v>169</v>
      </c>
      <c r="B1444" s="4" t="s">
        <v>31</v>
      </c>
      <c r="C1444" s="5">
        <v>28</v>
      </c>
      <c r="D1444" s="5">
        <v>9.24</v>
      </c>
      <c r="F1444" s="4" t="s">
        <v>9</v>
      </c>
      <c r="G1444" s="4" t="s">
        <v>170</v>
      </c>
      <c r="H1444" s="6" t="s">
        <v>11</v>
      </c>
    </row>
    <row r="1445" spans="1:8" x14ac:dyDescent="0.25">
      <c r="A1445" s="4" t="str">
        <f>"APEROL SPRITZ - DOUBLE "</f>
        <v xml:space="preserve">APEROL SPRITZ - DOUBLE </v>
      </c>
      <c r="B1445" s="4" t="s">
        <v>31</v>
      </c>
      <c r="C1445" s="5">
        <v>30</v>
      </c>
      <c r="D1445" s="5">
        <v>16.739999999999998</v>
      </c>
      <c r="F1445" s="4" t="s">
        <v>9</v>
      </c>
      <c r="G1445" s="4" t="s">
        <v>171</v>
      </c>
      <c r="H1445" s="6" t="s">
        <v>11</v>
      </c>
    </row>
    <row r="1446" spans="1:8" x14ac:dyDescent="0.25">
      <c r="A1446" s="4" t="s">
        <v>172</v>
      </c>
      <c r="B1446" s="4" t="s">
        <v>31</v>
      </c>
      <c r="C1446" s="5">
        <v>32</v>
      </c>
      <c r="D1446" s="5">
        <v>13.54</v>
      </c>
      <c r="F1446" s="4" t="s">
        <v>9</v>
      </c>
      <c r="G1446" s="4" t="s">
        <v>173</v>
      </c>
      <c r="H1446" s="6" t="s">
        <v>11</v>
      </c>
    </row>
    <row r="1447" spans="1:8" x14ac:dyDescent="0.25">
      <c r="A1447" s="4" t="str">
        <f>"ARVORE  DE DRINKS "</f>
        <v xml:space="preserve">ARVORE  DE DRINKS </v>
      </c>
      <c r="B1447" s="4" t="s">
        <v>31</v>
      </c>
      <c r="C1447" s="5">
        <v>89</v>
      </c>
      <c r="F1447" s="4" t="s">
        <v>9</v>
      </c>
      <c r="G1447" s="4" t="s">
        <v>189</v>
      </c>
      <c r="H1447" s="6" t="s">
        <v>11</v>
      </c>
    </row>
    <row r="1448" spans="1:8" x14ac:dyDescent="0.25">
      <c r="A1448" s="4" t="str">
        <f>"ARVORE  DE DRINKS- ESTOQUE "</f>
        <v xml:space="preserve">ARVORE  DE DRINKS- ESTOQUE </v>
      </c>
      <c r="B1448" s="4" t="s">
        <v>31</v>
      </c>
      <c r="C1448" s="5">
        <v>89</v>
      </c>
      <c r="F1448" s="4" t="s">
        <v>9</v>
      </c>
      <c r="G1448" s="4" t="s">
        <v>190</v>
      </c>
      <c r="H1448" s="6" t="s">
        <v>11</v>
      </c>
    </row>
    <row r="1449" spans="1:8" x14ac:dyDescent="0.25">
      <c r="A1449" s="4" t="s">
        <v>277</v>
      </c>
      <c r="B1449" s="4" t="s">
        <v>31</v>
      </c>
      <c r="C1449" s="5">
        <v>25</v>
      </c>
      <c r="D1449" s="5">
        <v>16.91</v>
      </c>
      <c r="F1449" s="4" t="s">
        <v>9</v>
      </c>
      <c r="G1449" s="4" t="s">
        <v>278</v>
      </c>
      <c r="H1449" s="6" t="s">
        <v>11</v>
      </c>
    </row>
    <row r="1450" spans="1:8" x14ac:dyDescent="0.25">
      <c r="A1450" s="4" t="s">
        <v>283</v>
      </c>
      <c r="B1450" s="4" t="s">
        <v>31</v>
      </c>
      <c r="C1450" s="5">
        <v>28</v>
      </c>
      <c r="D1450" s="5">
        <v>4.71</v>
      </c>
      <c r="F1450" s="4" t="s">
        <v>9</v>
      </c>
      <c r="G1450" s="4" t="s">
        <v>284</v>
      </c>
      <c r="H1450" s="6" t="s">
        <v>11</v>
      </c>
    </row>
    <row r="1451" spans="1:8" x14ac:dyDescent="0.25">
      <c r="A1451" s="4" t="s">
        <v>285</v>
      </c>
      <c r="B1451" s="4" t="s">
        <v>31</v>
      </c>
      <c r="C1451" s="5">
        <v>28</v>
      </c>
      <c r="D1451" s="5">
        <v>10.18</v>
      </c>
      <c r="F1451" s="4" t="s">
        <v>9</v>
      </c>
      <c r="G1451" s="4" t="s">
        <v>286</v>
      </c>
      <c r="H1451" s="6" t="s">
        <v>11</v>
      </c>
    </row>
    <row r="1452" spans="1:8" x14ac:dyDescent="0.25">
      <c r="A1452" s="4" t="s">
        <v>287</v>
      </c>
      <c r="B1452" s="4" t="s">
        <v>31</v>
      </c>
      <c r="C1452" s="5">
        <v>28</v>
      </c>
      <c r="D1452" s="5">
        <v>6.62</v>
      </c>
      <c r="F1452" s="4" t="s">
        <v>9</v>
      </c>
      <c r="G1452" s="4" t="s">
        <v>288</v>
      </c>
      <c r="H1452" s="6" t="s">
        <v>11</v>
      </c>
    </row>
    <row r="1453" spans="1:8" x14ac:dyDescent="0.25">
      <c r="A1453" s="4" t="s">
        <v>328</v>
      </c>
      <c r="B1453" s="4" t="s">
        <v>31</v>
      </c>
      <c r="C1453" s="5">
        <v>25</v>
      </c>
      <c r="D1453" s="5">
        <v>9.9600000000000009</v>
      </c>
      <c r="F1453" s="4" t="s">
        <v>9</v>
      </c>
      <c r="G1453" s="4" t="s">
        <v>329</v>
      </c>
      <c r="H1453" s="6" t="s">
        <v>11</v>
      </c>
    </row>
    <row r="1454" spans="1:8" x14ac:dyDescent="0.25">
      <c r="A1454" s="4" t="str">
        <f>"BLACK MOJITO "</f>
        <v xml:space="preserve">BLACK MOJITO </v>
      </c>
      <c r="B1454" s="4" t="s">
        <v>31</v>
      </c>
      <c r="C1454" s="5">
        <v>27</v>
      </c>
      <c r="D1454" s="5">
        <v>4.9400000000000004</v>
      </c>
      <c r="F1454" s="4" t="s">
        <v>9</v>
      </c>
      <c r="G1454" s="4" t="s">
        <v>330</v>
      </c>
      <c r="H1454" s="6" t="s">
        <v>11</v>
      </c>
    </row>
    <row r="1455" spans="1:8" x14ac:dyDescent="0.25">
      <c r="A1455" s="4" t="s">
        <v>336</v>
      </c>
      <c r="B1455" s="4" t="s">
        <v>31</v>
      </c>
      <c r="C1455" s="5">
        <v>30</v>
      </c>
      <c r="D1455" s="5">
        <v>14.45</v>
      </c>
      <c r="F1455" s="4" t="s">
        <v>9</v>
      </c>
      <c r="G1455" s="4" t="s">
        <v>337</v>
      </c>
      <c r="H1455" s="6" t="s">
        <v>11</v>
      </c>
    </row>
    <row r="1456" spans="1:8" x14ac:dyDescent="0.25">
      <c r="A1456" s="4" t="s">
        <v>375</v>
      </c>
      <c r="B1456" s="4" t="s">
        <v>31</v>
      </c>
      <c r="C1456" s="5">
        <v>30</v>
      </c>
      <c r="D1456" s="5">
        <v>10.88</v>
      </c>
      <c r="F1456" s="4" t="s">
        <v>9</v>
      </c>
      <c r="G1456" s="4" t="s">
        <v>376</v>
      </c>
      <c r="H1456" s="6" t="s">
        <v>11</v>
      </c>
    </row>
    <row r="1457" spans="1:8" x14ac:dyDescent="0.25">
      <c r="A1457" s="4" t="s">
        <v>384</v>
      </c>
      <c r="B1457" s="4" t="s">
        <v>31</v>
      </c>
      <c r="C1457" s="5">
        <v>30</v>
      </c>
      <c r="D1457" s="5">
        <v>25.79</v>
      </c>
      <c r="F1457" s="4" t="s">
        <v>9</v>
      </c>
      <c r="G1457" s="4" t="s">
        <v>385</v>
      </c>
      <c r="H1457" s="6" t="s">
        <v>11</v>
      </c>
    </row>
    <row r="1458" spans="1:8" x14ac:dyDescent="0.25">
      <c r="A1458" s="4" t="s">
        <v>387</v>
      </c>
      <c r="B1458" s="4" t="s">
        <v>31</v>
      </c>
      <c r="C1458" s="5">
        <v>28</v>
      </c>
      <c r="D1458" s="5">
        <v>24.48</v>
      </c>
      <c r="F1458" s="4" t="s">
        <v>9</v>
      </c>
      <c r="G1458" s="4" t="s">
        <v>388</v>
      </c>
      <c r="H1458" s="6" t="s">
        <v>11</v>
      </c>
    </row>
    <row r="1459" spans="1:8" x14ac:dyDescent="0.25">
      <c r="A1459" s="4" t="s">
        <v>401</v>
      </c>
      <c r="B1459" s="4" t="s">
        <v>31</v>
      </c>
      <c r="C1459" s="5">
        <v>24</v>
      </c>
      <c r="D1459" s="5">
        <v>5.6</v>
      </c>
      <c r="F1459" s="4" t="s">
        <v>9</v>
      </c>
      <c r="G1459" s="4" t="s">
        <v>402</v>
      </c>
      <c r="H1459" s="6" t="s">
        <v>11</v>
      </c>
    </row>
    <row r="1460" spans="1:8" x14ac:dyDescent="0.25">
      <c r="A1460" s="4" t="s">
        <v>463</v>
      </c>
      <c r="B1460" s="4" t="s">
        <v>31</v>
      </c>
      <c r="C1460" s="5">
        <v>25</v>
      </c>
      <c r="F1460" s="4" t="s">
        <v>9</v>
      </c>
      <c r="G1460" s="4" t="s">
        <v>464</v>
      </c>
      <c r="H1460" s="6" t="s">
        <v>11</v>
      </c>
    </row>
    <row r="1461" spans="1:8" x14ac:dyDescent="0.25">
      <c r="A1461" s="4" t="str">
        <f>"CAIPIRINHA DE JAMBU - FESTA DO CANIL "</f>
        <v xml:space="preserve">CAIPIRINHA DE JAMBU - FESTA DO CANIL </v>
      </c>
      <c r="B1461" s="4" t="s">
        <v>31</v>
      </c>
      <c r="C1461" s="5">
        <v>25</v>
      </c>
      <c r="F1461" s="4" t="s">
        <v>9</v>
      </c>
      <c r="G1461" s="4" t="s">
        <v>465</v>
      </c>
      <c r="H1461" s="6" t="s">
        <v>11</v>
      </c>
    </row>
    <row r="1462" spans="1:8" x14ac:dyDescent="0.25">
      <c r="A1462" s="4" t="str">
        <f>"CAIPIRINHA DE VODKA - FESTA DO CANIL "</f>
        <v xml:space="preserve">CAIPIRINHA DE VODKA - FESTA DO CANIL </v>
      </c>
      <c r="B1462" s="4" t="s">
        <v>31</v>
      </c>
      <c r="C1462" s="5">
        <v>25</v>
      </c>
      <c r="F1462" s="4" t="s">
        <v>9</v>
      </c>
      <c r="G1462" s="4" t="s">
        <v>466</v>
      </c>
      <c r="H1462" s="6" t="s">
        <v>11</v>
      </c>
    </row>
    <row r="1463" spans="1:8" x14ac:dyDescent="0.25">
      <c r="A1463" s="4" t="s">
        <v>467</v>
      </c>
      <c r="B1463" s="4" t="s">
        <v>31</v>
      </c>
      <c r="C1463" s="5">
        <v>24</v>
      </c>
      <c r="D1463" s="5">
        <v>8.66</v>
      </c>
      <c r="F1463" s="4" t="s">
        <v>9</v>
      </c>
      <c r="G1463" s="4" t="s">
        <v>468</v>
      </c>
      <c r="H1463" s="6" t="s">
        <v>11</v>
      </c>
    </row>
    <row r="1464" spans="1:8" x14ac:dyDescent="0.25">
      <c r="A1464" s="4" t="s">
        <v>469</v>
      </c>
      <c r="B1464" s="4" t="s">
        <v>31</v>
      </c>
      <c r="C1464" s="5">
        <v>28</v>
      </c>
      <c r="D1464" s="5">
        <v>7.39</v>
      </c>
      <c r="F1464" s="4" t="s">
        <v>9</v>
      </c>
      <c r="G1464" s="4" t="s">
        <v>470</v>
      </c>
      <c r="H1464" s="6" t="s">
        <v>11</v>
      </c>
    </row>
    <row r="1465" spans="1:8" x14ac:dyDescent="0.25">
      <c r="A1465" s="4" t="s">
        <v>481</v>
      </c>
      <c r="B1465" s="4" t="s">
        <v>31</v>
      </c>
      <c r="C1465" s="5">
        <v>28</v>
      </c>
      <c r="D1465" s="5">
        <v>14.96</v>
      </c>
      <c r="F1465" s="4" t="s">
        <v>9</v>
      </c>
      <c r="G1465" s="4" t="s">
        <v>482</v>
      </c>
      <c r="H1465" s="6" t="s">
        <v>11</v>
      </c>
    </row>
    <row r="1466" spans="1:8" x14ac:dyDescent="0.25">
      <c r="A1466" s="4" t="s">
        <v>483</v>
      </c>
      <c r="B1466" s="4" t="s">
        <v>31</v>
      </c>
      <c r="C1466" s="5">
        <v>28</v>
      </c>
      <c r="D1466" s="5">
        <v>12.12</v>
      </c>
      <c r="F1466" s="4" t="s">
        <v>9</v>
      </c>
      <c r="G1466" s="4" t="s">
        <v>484</v>
      </c>
      <c r="H1466" s="6" t="s">
        <v>11</v>
      </c>
    </row>
    <row r="1467" spans="1:8" x14ac:dyDescent="0.25">
      <c r="A1467" s="4" t="str">
        <f>"CAMPARI TONIC "</f>
        <v xml:space="preserve">CAMPARI TONIC </v>
      </c>
      <c r="B1467" s="4" t="s">
        <v>31</v>
      </c>
      <c r="C1467" s="5">
        <v>24</v>
      </c>
      <c r="D1467" s="5">
        <v>4.97</v>
      </c>
      <c r="F1467" s="4" t="s">
        <v>9</v>
      </c>
      <c r="G1467" s="4" t="s">
        <v>643</v>
      </c>
      <c r="H1467" s="6" t="s">
        <v>11</v>
      </c>
    </row>
    <row r="1468" spans="1:8" x14ac:dyDescent="0.25">
      <c r="A1468" s="4" t="s">
        <v>644</v>
      </c>
      <c r="B1468" s="4" t="s">
        <v>31</v>
      </c>
      <c r="C1468" s="5">
        <v>24</v>
      </c>
      <c r="D1468" s="5">
        <v>9.08</v>
      </c>
      <c r="F1468" s="4" t="s">
        <v>9</v>
      </c>
      <c r="G1468" s="4" t="s">
        <v>645</v>
      </c>
      <c r="H1468" s="6" t="s">
        <v>11</v>
      </c>
    </row>
    <row r="1469" spans="1:8" x14ac:dyDescent="0.25">
      <c r="A1469" s="4" t="str">
        <f>"CARAJILLO "</f>
        <v xml:space="preserve">CARAJILLO </v>
      </c>
      <c r="B1469" s="4" t="s">
        <v>31</v>
      </c>
      <c r="C1469" s="5">
        <v>30</v>
      </c>
      <c r="D1469" s="5">
        <v>11.53</v>
      </c>
      <c r="F1469" s="4" t="s">
        <v>9</v>
      </c>
      <c r="G1469" s="4" t="s">
        <v>676</v>
      </c>
      <c r="H1469" s="6" t="s">
        <v>11</v>
      </c>
    </row>
    <row r="1470" spans="1:8" x14ac:dyDescent="0.25">
      <c r="A1470" s="4" t="str">
        <f>"CITRUS PUNCH - NAO ALCOOLICO "</f>
        <v xml:space="preserve">CITRUS PUNCH - NAO ALCOOLICO </v>
      </c>
      <c r="B1470" s="4" t="s">
        <v>31</v>
      </c>
      <c r="C1470" s="5">
        <v>23</v>
      </c>
      <c r="D1470" s="5">
        <v>7.45</v>
      </c>
      <c r="F1470" s="4" t="s">
        <v>9</v>
      </c>
      <c r="G1470" s="4" t="s">
        <v>2279</v>
      </c>
      <c r="H1470" s="6" t="s">
        <v>11</v>
      </c>
    </row>
    <row r="1471" spans="1:8" x14ac:dyDescent="0.25">
      <c r="A1471" s="4" t="str">
        <f>"CONFETTI MULE - "</f>
        <v xml:space="preserve">CONFETTI MULE - </v>
      </c>
      <c r="B1471" s="4" t="s">
        <v>31</v>
      </c>
      <c r="C1471" s="5">
        <v>28</v>
      </c>
      <c r="D1471" s="5">
        <v>1.96</v>
      </c>
      <c r="F1471" s="4" t="s">
        <v>9</v>
      </c>
      <c r="G1471" s="4" t="s">
        <v>2315</v>
      </c>
      <c r="H1471" s="6" t="s">
        <v>11</v>
      </c>
    </row>
    <row r="1472" spans="1:8" x14ac:dyDescent="0.25">
      <c r="A1472" s="4" t="s">
        <v>2329</v>
      </c>
      <c r="B1472" s="4" t="s">
        <v>31</v>
      </c>
      <c r="C1472" s="5">
        <v>24</v>
      </c>
      <c r="D1472" s="5">
        <v>5.36</v>
      </c>
      <c r="F1472" s="4" t="s">
        <v>9</v>
      </c>
      <c r="G1472" s="4" t="s">
        <v>2330</v>
      </c>
      <c r="H1472" s="6" t="s">
        <v>11</v>
      </c>
    </row>
    <row r="1473" spans="1:8" x14ac:dyDescent="0.25">
      <c r="A1473" s="4" t="s">
        <v>2409</v>
      </c>
      <c r="B1473" s="4" t="s">
        <v>31</v>
      </c>
      <c r="C1473" s="5">
        <v>28</v>
      </c>
      <c r="D1473" s="5">
        <v>10.96</v>
      </c>
      <c r="F1473" s="4" t="s">
        <v>9</v>
      </c>
      <c r="G1473" s="4" t="s">
        <v>2410</v>
      </c>
      <c r="H1473" s="6" t="s">
        <v>11</v>
      </c>
    </row>
    <row r="1474" spans="1:8" x14ac:dyDescent="0.25">
      <c r="A1474" s="4" t="s">
        <v>2432</v>
      </c>
      <c r="B1474" s="4" t="s">
        <v>31</v>
      </c>
      <c r="C1474" s="5">
        <v>32</v>
      </c>
      <c r="D1474" s="5">
        <v>3.87</v>
      </c>
      <c r="F1474" s="4" t="s">
        <v>9</v>
      </c>
      <c r="G1474" s="4" t="s">
        <v>2433</v>
      </c>
      <c r="H1474" s="6" t="s">
        <v>11</v>
      </c>
    </row>
    <row r="1475" spans="1:8" x14ac:dyDescent="0.25">
      <c r="A1475" s="4" t="s">
        <v>2434</v>
      </c>
      <c r="B1475" s="4" t="s">
        <v>31</v>
      </c>
      <c r="C1475" s="5">
        <v>32</v>
      </c>
      <c r="D1475" s="5">
        <v>19.47</v>
      </c>
      <c r="F1475" s="4" t="s">
        <v>9</v>
      </c>
      <c r="G1475" s="4" t="s">
        <v>2435</v>
      </c>
      <c r="H1475" s="6" t="s">
        <v>11</v>
      </c>
    </row>
    <row r="1476" spans="1:8" x14ac:dyDescent="0.25">
      <c r="A1476" s="4" t="str">
        <f>"CUERVO TOKYO "</f>
        <v xml:space="preserve">CUERVO TOKYO </v>
      </c>
      <c r="B1476" s="4" t="s">
        <v>31</v>
      </c>
      <c r="C1476" s="5">
        <v>28</v>
      </c>
      <c r="D1476" s="5">
        <v>10.69</v>
      </c>
      <c r="F1476" s="4" t="s">
        <v>9</v>
      </c>
      <c r="G1476" s="4" t="s">
        <v>2436</v>
      </c>
      <c r="H1476" s="6" t="s">
        <v>11</v>
      </c>
    </row>
    <row r="1477" spans="1:8" x14ac:dyDescent="0.25">
      <c r="A1477" s="4" t="s">
        <v>2439</v>
      </c>
      <c r="B1477" s="4" t="s">
        <v>31</v>
      </c>
      <c r="C1477" s="5">
        <v>28</v>
      </c>
      <c r="D1477" s="5">
        <v>14.46</v>
      </c>
      <c r="F1477" s="4" t="s">
        <v>9</v>
      </c>
      <c r="G1477" s="4" t="s">
        <v>2440</v>
      </c>
      <c r="H1477" s="6" t="s">
        <v>11</v>
      </c>
    </row>
    <row r="1478" spans="1:8" x14ac:dyDescent="0.25">
      <c r="A1478" s="4" t="s">
        <v>2449</v>
      </c>
      <c r="B1478" s="4" t="s">
        <v>31</v>
      </c>
      <c r="C1478" s="5">
        <v>25</v>
      </c>
      <c r="D1478" s="5">
        <v>4.1399999999999997</v>
      </c>
      <c r="F1478" s="4" t="s">
        <v>9</v>
      </c>
      <c r="G1478" s="4" t="s">
        <v>2450</v>
      </c>
      <c r="H1478" s="6" t="s">
        <v>11</v>
      </c>
    </row>
    <row r="1479" spans="1:8" x14ac:dyDescent="0.25">
      <c r="A1479" s="4" t="s">
        <v>2797</v>
      </c>
      <c r="B1479" s="4" t="s">
        <v>31</v>
      </c>
      <c r="C1479" s="5">
        <v>30</v>
      </c>
      <c r="D1479" s="5">
        <v>3.87</v>
      </c>
      <c r="F1479" s="4" t="s">
        <v>9</v>
      </c>
      <c r="G1479" s="4" t="s">
        <v>2798</v>
      </c>
      <c r="H1479" s="6" t="s">
        <v>11</v>
      </c>
    </row>
    <row r="1480" spans="1:8" x14ac:dyDescent="0.25">
      <c r="A1480" s="4" t="s">
        <v>2799</v>
      </c>
      <c r="B1480" s="4" t="s">
        <v>31</v>
      </c>
      <c r="C1480" s="5">
        <v>28</v>
      </c>
      <c r="D1480" s="5">
        <v>0.75</v>
      </c>
      <c r="F1480" s="4" t="s">
        <v>9</v>
      </c>
      <c r="G1480" s="4" t="s">
        <v>2800</v>
      </c>
      <c r="H1480" s="6" t="s">
        <v>11</v>
      </c>
    </row>
    <row r="1481" spans="1:8" x14ac:dyDescent="0.25">
      <c r="A1481" s="4" t="s">
        <v>2801</v>
      </c>
      <c r="B1481" s="4" t="s">
        <v>31</v>
      </c>
      <c r="C1481" s="5">
        <v>32</v>
      </c>
      <c r="D1481" s="5">
        <v>9.25</v>
      </c>
      <c r="F1481" s="4" t="s">
        <v>9</v>
      </c>
      <c r="G1481" s="4" t="s">
        <v>2802</v>
      </c>
      <c r="H1481" s="6" t="s">
        <v>11</v>
      </c>
    </row>
    <row r="1482" spans="1:8" x14ac:dyDescent="0.25">
      <c r="A1482" s="4" t="s">
        <v>2809</v>
      </c>
      <c r="B1482" s="4" t="s">
        <v>31</v>
      </c>
      <c r="C1482" s="5">
        <v>50</v>
      </c>
      <c r="D1482" s="5">
        <v>9.89</v>
      </c>
      <c r="F1482" s="4" t="s">
        <v>9</v>
      </c>
      <c r="G1482" s="4" t="s">
        <v>2810</v>
      </c>
      <c r="H1482" s="6" t="s">
        <v>11</v>
      </c>
    </row>
    <row r="1483" spans="1:8" x14ac:dyDescent="0.25">
      <c r="A1483" s="4" t="str">
        <f>"DOUBLE RITA LEE ON ACID "</f>
        <v xml:space="preserve">DOUBLE RITA LEE ON ACID </v>
      </c>
      <c r="B1483" s="4" t="s">
        <v>31</v>
      </c>
      <c r="C1483" s="5">
        <v>50</v>
      </c>
      <c r="D1483" s="5">
        <v>11.85</v>
      </c>
      <c r="F1483" s="4" t="s">
        <v>9</v>
      </c>
      <c r="G1483" s="4" t="s">
        <v>2811</v>
      </c>
      <c r="H1483" s="6" t="s">
        <v>11</v>
      </c>
    </row>
    <row r="1484" spans="1:8" x14ac:dyDescent="0.25">
      <c r="A1484" s="4" t="s">
        <v>2817</v>
      </c>
      <c r="B1484" s="4" t="s">
        <v>31</v>
      </c>
      <c r="C1484" s="5">
        <v>35</v>
      </c>
      <c r="F1484" s="4" t="s">
        <v>9</v>
      </c>
      <c r="G1484" s="4" t="s">
        <v>2818</v>
      </c>
      <c r="H1484" s="6" t="s">
        <v>11</v>
      </c>
    </row>
    <row r="1485" spans="1:8" x14ac:dyDescent="0.25">
      <c r="A1485" s="4" t="s">
        <v>2910</v>
      </c>
      <c r="B1485" s="4" t="s">
        <v>31</v>
      </c>
      <c r="C1485" s="5">
        <v>28</v>
      </c>
      <c r="D1485" s="5">
        <v>28.87</v>
      </c>
      <c r="F1485" s="4" t="s">
        <v>9</v>
      </c>
      <c r="G1485" s="4" t="s">
        <v>2911</v>
      </c>
      <c r="H1485" s="6" t="s">
        <v>11</v>
      </c>
    </row>
    <row r="1486" spans="1:8" x14ac:dyDescent="0.25">
      <c r="A1486" s="4" t="s">
        <v>3009</v>
      </c>
      <c r="B1486" s="4" t="s">
        <v>31</v>
      </c>
      <c r="C1486" s="5">
        <v>30</v>
      </c>
      <c r="D1486" s="5">
        <v>46.94</v>
      </c>
      <c r="F1486" s="4" t="s">
        <v>9</v>
      </c>
      <c r="G1486" s="4" t="s">
        <v>3010</v>
      </c>
      <c r="H1486" s="6" t="s">
        <v>11</v>
      </c>
    </row>
    <row r="1487" spans="1:8" x14ac:dyDescent="0.25">
      <c r="A1487" s="4" t="s">
        <v>3011</v>
      </c>
      <c r="B1487" s="4" t="s">
        <v>31</v>
      </c>
      <c r="C1487" s="5">
        <v>28</v>
      </c>
      <c r="D1487" s="5">
        <v>5.95</v>
      </c>
      <c r="F1487" s="4" t="s">
        <v>9</v>
      </c>
      <c r="G1487" s="4" t="s">
        <v>3012</v>
      </c>
      <c r="H1487" s="6" t="s">
        <v>11</v>
      </c>
    </row>
    <row r="1488" spans="1:8" x14ac:dyDescent="0.25">
      <c r="A1488" s="4" t="str">
        <f>"FROZEN COLADA "</f>
        <v xml:space="preserve">FROZEN COLADA </v>
      </c>
      <c r="B1488" s="4" t="s">
        <v>31</v>
      </c>
      <c r="C1488" s="5">
        <v>28</v>
      </c>
      <c r="D1488" s="5">
        <v>6.79</v>
      </c>
      <c r="F1488" s="4" t="s">
        <v>9</v>
      </c>
      <c r="G1488" s="4" t="s">
        <v>3040</v>
      </c>
      <c r="H1488" s="6" t="s">
        <v>11</v>
      </c>
    </row>
    <row r="1489" spans="1:8" x14ac:dyDescent="0.25">
      <c r="A1489" s="4" t="str">
        <f>"GARIBALDI - DOUBLE "</f>
        <v xml:space="preserve">GARIBALDI - DOUBLE </v>
      </c>
      <c r="B1489" s="4" t="s">
        <v>31</v>
      </c>
      <c r="C1489" s="5">
        <v>30</v>
      </c>
      <c r="D1489" s="5">
        <v>6.52</v>
      </c>
      <c r="F1489" s="4" t="s">
        <v>9</v>
      </c>
      <c r="G1489" s="4" t="s">
        <v>3061</v>
      </c>
      <c r="H1489" s="6" t="s">
        <v>11</v>
      </c>
    </row>
    <row r="1490" spans="1:8" x14ac:dyDescent="0.25">
      <c r="A1490" s="4" t="s">
        <v>3113</v>
      </c>
      <c r="B1490" s="4" t="s">
        <v>31</v>
      </c>
      <c r="C1490" s="5">
        <v>25</v>
      </c>
      <c r="F1490" s="4" t="s">
        <v>9</v>
      </c>
      <c r="G1490" s="4" t="s">
        <v>3114</v>
      </c>
      <c r="H1490" s="6" t="s">
        <v>11</v>
      </c>
    </row>
    <row r="1491" spans="1:8" x14ac:dyDescent="0.25">
      <c r="A1491" s="4" t="s">
        <v>3119</v>
      </c>
      <c r="B1491" s="4" t="s">
        <v>31</v>
      </c>
      <c r="C1491" s="5">
        <v>28</v>
      </c>
      <c r="D1491" s="5">
        <v>7.05</v>
      </c>
      <c r="F1491" s="4" t="s">
        <v>9</v>
      </c>
      <c r="G1491" s="4" t="s">
        <v>3120</v>
      </c>
      <c r="H1491" s="6" t="s">
        <v>11</v>
      </c>
    </row>
    <row r="1492" spans="1:8" x14ac:dyDescent="0.25">
      <c r="A1492" s="4" t="s">
        <v>3121</v>
      </c>
      <c r="B1492" s="4" t="s">
        <v>31</v>
      </c>
      <c r="C1492" s="5">
        <v>30</v>
      </c>
      <c r="D1492" s="5">
        <v>6.79</v>
      </c>
      <c r="F1492" s="4" t="s">
        <v>9</v>
      </c>
      <c r="G1492" s="4" t="s">
        <v>3122</v>
      </c>
      <c r="H1492" s="6" t="s">
        <v>11</v>
      </c>
    </row>
    <row r="1493" spans="1:8" x14ac:dyDescent="0.25">
      <c r="A1493" s="4" t="s">
        <v>3123</v>
      </c>
      <c r="B1493" s="4" t="s">
        <v>31</v>
      </c>
      <c r="C1493" s="5">
        <v>27</v>
      </c>
      <c r="D1493" s="5">
        <v>11.88</v>
      </c>
      <c r="F1493" s="4" t="s">
        <v>9</v>
      </c>
      <c r="G1493" s="4" t="s">
        <v>3124</v>
      </c>
      <c r="H1493" s="6" t="s">
        <v>11</v>
      </c>
    </row>
    <row r="1494" spans="1:8" x14ac:dyDescent="0.25">
      <c r="A1494" s="4" t="s">
        <v>3142</v>
      </c>
      <c r="B1494" s="4" t="s">
        <v>31</v>
      </c>
      <c r="C1494" s="5">
        <v>30</v>
      </c>
      <c r="D1494" s="5">
        <v>11.1</v>
      </c>
      <c r="F1494" s="4" t="s">
        <v>9</v>
      </c>
      <c r="G1494" s="4" t="s">
        <v>3143</v>
      </c>
      <c r="H1494" s="6" t="s">
        <v>11</v>
      </c>
    </row>
    <row r="1495" spans="1:8" x14ac:dyDescent="0.25">
      <c r="A1495" s="4" t="s">
        <v>3144</v>
      </c>
      <c r="B1495" s="4" t="s">
        <v>31</v>
      </c>
      <c r="C1495" s="5">
        <v>29</v>
      </c>
      <c r="D1495" s="5">
        <v>8.07</v>
      </c>
      <c r="F1495" s="4" t="s">
        <v>9</v>
      </c>
      <c r="G1495" s="4" t="s">
        <v>3145</v>
      </c>
      <c r="H1495" s="6" t="s">
        <v>11</v>
      </c>
    </row>
    <row r="1496" spans="1:8" x14ac:dyDescent="0.25">
      <c r="A1496" s="4" t="s">
        <v>3146</v>
      </c>
      <c r="B1496" s="4" t="s">
        <v>31</v>
      </c>
      <c r="C1496" s="5">
        <v>29</v>
      </c>
      <c r="D1496" s="5">
        <v>25.67</v>
      </c>
      <c r="F1496" s="4" t="s">
        <v>9</v>
      </c>
      <c r="G1496" s="4" t="s">
        <v>3147</v>
      </c>
      <c r="H1496" s="6" t="s">
        <v>11</v>
      </c>
    </row>
    <row r="1497" spans="1:8" x14ac:dyDescent="0.25">
      <c r="A1497" s="4" t="s">
        <v>3156</v>
      </c>
      <c r="B1497" s="4" t="s">
        <v>31</v>
      </c>
      <c r="C1497" s="5">
        <v>23</v>
      </c>
      <c r="D1497" s="5">
        <v>5.88</v>
      </c>
      <c r="F1497" s="4" t="s">
        <v>9</v>
      </c>
      <c r="G1497" s="4" t="s">
        <v>3157</v>
      </c>
      <c r="H1497" s="6" t="s">
        <v>11</v>
      </c>
    </row>
    <row r="1498" spans="1:8" x14ac:dyDescent="0.25">
      <c r="A1498" s="4" t="s">
        <v>3194</v>
      </c>
      <c r="B1498" s="4" t="s">
        <v>31</v>
      </c>
      <c r="C1498" s="5">
        <v>30</v>
      </c>
      <c r="D1498" s="5">
        <v>3.87</v>
      </c>
      <c r="F1498" s="4" t="s">
        <v>9</v>
      </c>
      <c r="G1498" s="4" t="s">
        <v>3195</v>
      </c>
      <c r="H1498" s="6" t="s">
        <v>11</v>
      </c>
    </row>
    <row r="1499" spans="1:8" x14ac:dyDescent="0.25">
      <c r="A1499" s="4" t="s">
        <v>3202</v>
      </c>
      <c r="B1499" s="4" t="s">
        <v>31</v>
      </c>
      <c r="C1499" s="5">
        <v>28</v>
      </c>
      <c r="D1499" s="5">
        <v>13.7</v>
      </c>
      <c r="F1499" s="4" t="s">
        <v>9</v>
      </c>
      <c r="G1499" s="4" t="s">
        <v>3203</v>
      </c>
      <c r="H1499" s="6" t="s">
        <v>11</v>
      </c>
    </row>
    <row r="1500" spans="1:8" x14ac:dyDescent="0.25">
      <c r="A1500" s="4" t="s">
        <v>3226</v>
      </c>
      <c r="B1500" s="4" t="s">
        <v>31</v>
      </c>
      <c r="C1500" s="5">
        <v>28</v>
      </c>
      <c r="D1500" s="5">
        <v>9.1999999999999993</v>
      </c>
      <c r="F1500" s="4" t="s">
        <v>9</v>
      </c>
      <c r="G1500" s="4" t="s">
        <v>3227</v>
      </c>
      <c r="H1500" s="6" t="s">
        <v>11</v>
      </c>
    </row>
    <row r="1501" spans="1:8" x14ac:dyDescent="0.25">
      <c r="A1501" s="4" t="s">
        <v>3228</v>
      </c>
      <c r="B1501" s="4" t="s">
        <v>31</v>
      </c>
      <c r="C1501" s="5">
        <v>30</v>
      </c>
      <c r="F1501" s="4" t="s">
        <v>9</v>
      </c>
      <c r="G1501" s="4" t="s">
        <v>3229</v>
      </c>
      <c r="H1501" s="6" t="s">
        <v>11</v>
      </c>
    </row>
    <row r="1502" spans="1:8" x14ac:dyDescent="0.25">
      <c r="A1502" s="4" t="str">
        <f>"JAGER BOMB "</f>
        <v xml:space="preserve">JAGER BOMB </v>
      </c>
      <c r="B1502" s="4" t="s">
        <v>31</v>
      </c>
      <c r="C1502" s="5">
        <v>30</v>
      </c>
      <c r="F1502" s="4" t="s">
        <v>9</v>
      </c>
      <c r="G1502" s="4" t="s">
        <v>3230</v>
      </c>
      <c r="H1502" s="6" t="s">
        <v>11</v>
      </c>
    </row>
    <row r="1503" spans="1:8" x14ac:dyDescent="0.25">
      <c r="A1503" s="4" t="s">
        <v>3231</v>
      </c>
      <c r="B1503" s="4" t="s">
        <v>31</v>
      </c>
      <c r="C1503" s="5">
        <v>35</v>
      </c>
      <c r="D1503" s="5">
        <v>8.56</v>
      </c>
      <c r="F1503" s="4" t="s">
        <v>9</v>
      </c>
      <c r="G1503" s="4" t="s">
        <v>3232</v>
      </c>
      <c r="H1503" s="6" t="s">
        <v>11</v>
      </c>
    </row>
    <row r="1504" spans="1:8" x14ac:dyDescent="0.25">
      <c r="A1504" s="4" t="str">
        <f>"JAMBU-BOMB "</f>
        <v xml:space="preserve">JAMBU-BOMB </v>
      </c>
      <c r="B1504" s="4" t="s">
        <v>31</v>
      </c>
      <c r="C1504" s="5">
        <v>28</v>
      </c>
      <c r="D1504" s="5">
        <v>8.9499999999999993</v>
      </c>
      <c r="F1504" s="4" t="s">
        <v>9</v>
      </c>
      <c r="G1504" s="4" t="s">
        <v>3236</v>
      </c>
      <c r="H1504" s="6" t="s">
        <v>11</v>
      </c>
    </row>
    <row r="1505" spans="1:8" x14ac:dyDescent="0.25">
      <c r="A1505" s="4" t="s">
        <v>3237</v>
      </c>
      <c r="B1505" s="4" t="s">
        <v>31</v>
      </c>
      <c r="C1505" s="5">
        <v>30</v>
      </c>
      <c r="D1505" s="5">
        <v>10.18</v>
      </c>
      <c r="F1505" s="4" t="s">
        <v>9</v>
      </c>
      <c r="G1505" s="4" t="s">
        <v>3238</v>
      </c>
      <c r="H1505" s="6" t="s">
        <v>11</v>
      </c>
    </row>
    <row r="1506" spans="1:8" x14ac:dyDescent="0.25">
      <c r="A1506" s="4" t="s">
        <v>3363</v>
      </c>
      <c r="B1506" s="4" t="s">
        <v>31</v>
      </c>
      <c r="C1506" s="5">
        <v>29</v>
      </c>
      <c r="D1506" s="5">
        <v>6.12</v>
      </c>
      <c r="F1506" s="4" t="s">
        <v>9</v>
      </c>
      <c r="G1506" s="4" t="s">
        <v>3364</v>
      </c>
      <c r="H1506" s="6" t="s">
        <v>11</v>
      </c>
    </row>
    <row r="1507" spans="1:8" x14ac:dyDescent="0.25">
      <c r="A1507" s="4" t="s">
        <v>3365</v>
      </c>
      <c r="B1507" s="4" t="s">
        <v>31</v>
      </c>
      <c r="C1507" s="5">
        <v>28</v>
      </c>
      <c r="D1507" s="5">
        <v>8.98</v>
      </c>
      <c r="F1507" s="4" t="s">
        <v>9</v>
      </c>
      <c r="G1507" s="4" t="s">
        <v>3366</v>
      </c>
      <c r="H1507" s="6" t="s">
        <v>11</v>
      </c>
    </row>
    <row r="1508" spans="1:8" x14ac:dyDescent="0.25">
      <c r="A1508" s="4" t="s">
        <v>3367</v>
      </c>
      <c r="B1508" s="4" t="s">
        <v>31</v>
      </c>
      <c r="C1508" s="5">
        <v>29</v>
      </c>
      <c r="D1508" s="5">
        <v>13.24</v>
      </c>
      <c r="F1508" s="4" t="s">
        <v>9</v>
      </c>
      <c r="G1508" s="4" t="s">
        <v>3368</v>
      </c>
      <c r="H1508" s="6" t="s">
        <v>11</v>
      </c>
    </row>
    <row r="1509" spans="1:8" x14ac:dyDescent="0.25">
      <c r="A1509" s="4" t="s">
        <v>3434</v>
      </c>
      <c r="B1509" s="4" t="s">
        <v>31</v>
      </c>
      <c r="C1509" s="5">
        <v>30</v>
      </c>
      <c r="D1509" s="5">
        <v>11.85</v>
      </c>
      <c r="F1509" s="4" t="s">
        <v>9</v>
      </c>
      <c r="G1509" s="4" t="s">
        <v>3435</v>
      </c>
      <c r="H1509" s="6" t="s">
        <v>11</v>
      </c>
    </row>
    <row r="1510" spans="1:8" x14ac:dyDescent="0.25">
      <c r="A1510" s="4" t="s">
        <v>3440</v>
      </c>
      <c r="B1510" s="4" t="s">
        <v>31</v>
      </c>
      <c r="C1510" s="5">
        <v>28</v>
      </c>
      <c r="D1510" s="5">
        <v>3.14</v>
      </c>
      <c r="F1510" s="4" t="s">
        <v>9</v>
      </c>
      <c r="G1510" s="4" t="s">
        <v>3441</v>
      </c>
      <c r="H1510" s="6" t="s">
        <v>11</v>
      </c>
    </row>
    <row r="1511" spans="1:8" x14ac:dyDescent="0.25">
      <c r="A1511" s="4" t="s">
        <v>3450</v>
      </c>
      <c r="B1511" s="4" t="s">
        <v>31</v>
      </c>
      <c r="C1511" s="5">
        <v>25</v>
      </c>
      <c r="D1511" s="5">
        <v>7.86</v>
      </c>
      <c r="F1511" s="4" t="s">
        <v>9</v>
      </c>
      <c r="G1511" s="4" t="s">
        <v>3451</v>
      </c>
      <c r="H1511" s="6" t="s">
        <v>11</v>
      </c>
    </row>
    <row r="1512" spans="1:8" x14ac:dyDescent="0.25">
      <c r="A1512" s="4" t="str">
        <f>"MARSHMALLOW G&amp;T "</f>
        <v xml:space="preserve">MARSHMALLOW G&amp;T </v>
      </c>
      <c r="B1512" s="4" t="s">
        <v>31</v>
      </c>
      <c r="C1512" s="5">
        <v>28</v>
      </c>
      <c r="D1512" s="5">
        <v>5.7</v>
      </c>
      <c r="F1512" s="4" t="s">
        <v>9</v>
      </c>
      <c r="G1512" s="4" t="s">
        <v>3457</v>
      </c>
      <c r="H1512" s="6" t="s">
        <v>11</v>
      </c>
    </row>
    <row r="1513" spans="1:8" x14ac:dyDescent="0.25">
      <c r="A1513" s="4" t="str">
        <f>"MICHELADA DO ZE - FESTA DO CANIL "</f>
        <v xml:space="preserve">MICHELADA DO ZE - FESTA DO CANIL </v>
      </c>
      <c r="B1513" s="4" t="s">
        <v>31</v>
      </c>
      <c r="C1513" s="5">
        <v>30</v>
      </c>
      <c r="F1513" s="4" t="s">
        <v>9</v>
      </c>
      <c r="G1513" s="4" t="s">
        <v>3492</v>
      </c>
      <c r="H1513" s="6" t="s">
        <v>11</v>
      </c>
    </row>
    <row r="1514" spans="1:8" x14ac:dyDescent="0.25">
      <c r="A1514" s="4" t="s">
        <v>3907</v>
      </c>
      <c r="B1514" s="4" t="s">
        <v>31</v>
      </c>
      <c r="C1514" s="5">
        <v>30</v>
      </c>
      <c r="D1514" s="5">
        <v>10.24</v>
      </c>
      <c r="F1514" s="4" t="s">
        <v>9</v>
      </c>
      <c r="G1514" s="4" t="s">
        <v>3908</v>
      </c>
      <c r="H1514" s="6" t="s">
        <v>11</v>
      </c>
    </row>
    <row r="1515" spans="1:8" x14ac:dyDescent="0.25">
      <c r="A1515" s="4" t="s">
        <v>3910</v>
      </c>
      <c r="B1515" s="4" t="s">
        <v>31</v>
      </c>
      <c r="C1515" s="5">
        <v>30</v>
      </c>
      <c r="D1515" s="5">
        <v>9.35</v>
      </c>
      <c r="F1515" s="4" t="s">
        <v>9</v>
      </c>
      <c r="G1515" s="4" t="s">
        <v>3911</v>
      </c>
      <c r="H1515" s="6" t="s">
        <v>11</v>
      </c>
    </row>
    <row r="1516" spans="1:8" x14ac:dyDescent="0.25">
      <c r="A1516" s="4" t="s">
        <v>3952</v>
      </c>
      <c r="B1516" s="4" t="s">
        <v>31</v>
      </c>
      <c r="C1516" s="5">
        <v>89</v>
      </c>
      <c r="D1516" s="5">
        <v>37.119999999999997</v>
      </c>
      <c r="F1516" s="4" t="s">
        <v>9</v>
      </c>
      <c r="G1516" s="4" t="s">
        <v>3953</v>
      </c>
      <c r="H1516" s="6" t="s">
        <v>11</v>
      </c>
    </row>
    <row r="1517" spans="1:8" x14ac:dyDescent="0.25">
      <c r="A1517" s="4" t="str">
        <f>"PALOMITA CALIENTE "</f>
        <v xml:space="preserve">PALOMITA CALIENTE </v>
      </c>
      <c r="B1517" s="4" t="s">
        <v>31</v>
      </c>
      <c r="C1517" s="5">
        <v>30</v>
      </c>
      <c r="D1517" s="5">
        <v>16.03</v>
      </c>
      <c r="F1517" s="4" t="s">
        <v>9</v>
      </c>
      <c r="G1517" s="4" t="s">
        <v>3981</v>
      </c>
      <c r="H1517" s="6" t="s">
        <v>11</v>
      </c>
    </row>
    <row r="1518" spans="1:8" x14ac:dyDescent="0.25">
      <c r="A1518" s="4" t="s">
        <v>3982</v>
      </c>
      <c r="B1518" s="4" t="s">
        <v>31</v>
      </c>
      <c r="C1518" s="5">
        <v>30</v>
      </c>
      <c r="D1518" s="5">
        <v>16.3</v>
      </c>
      <c r="F1518" s="4" t="s">
        <v>9</v>
      </c>
      <c r="G1518" s="4" t="s">
        <v>3983</v>
      </c>
      <c r="H1518" s="6" t="s">
        <v>11</v>
      </c>
    </row>
    <row r="1519" spans="1:8" x14ac:dyDescent="0.25">
      <c r="A1519" s="4" t="s">
        <v>4046</v>
      </c>
      <c r="B1519" s="4" t="s">
        <v>31</v>
      </c>
      <c r="C1519" s="5">
        <v>28</v>
      </c>
      <c r="D1519" s="5">
        <v>7.58</v>
      </c>
      <c r="F1519" s="4" t="s">
        <v>9</v>
      </c>
      <c r="G1519" s="4" t="s">
        <v>4047</v>
      </c>
      <c r="H1519" s="6" t="s">
        <v>11</v>
      </c>
    </row>
    <row r="1520" spans="1:8" x14ac:dyDescent="0.25">
      <c r="A1520" s="4" t="s">
        <v>4064</v>
      </c>
      <c r="B1520" s="4" t="s">
        <v>31</v>
      </c>
      <c r="C1520" s="5">
        <v>27</v>
      </c>
      <c r="D1520" s="5">
        <v>17.18</v>
      </c>
      <c r="F1520" s="4" t="s">
        <v>9</v>
      </c>
      <c r="G1520" s="4" t="s">
        <v>4065</v>
      </c>
      <c r="H1520" s="6" t="s">
        <v>11</v>
      </c>
    </row>
    <row r="1521" spans="1:8" x14ac:dyDescent="0.25">
      <c r="A1521" s="4" t="str">
        <f>"PINK LEMONADE (SEM ALCOOL) "</f>
        <v xml:space="preserve">PINK LEMONADE (SEM ALCOOL) </v>
      </c>
      <c r="B1521" s="4" t="s">
        <v>31</v>
      </c>
      <c r="C1521" s="5">
        <v>25</v>
      </c>
      <c r="F1521" s="4" t="s">
        <v>9</v>
      </c>
      <c r="G1521" s="4" t="s">
        <v>4114</v>
      </c>
      <c r="H1521" s="6" t="s">
        <v>11</v>
      </c>
    </row>
    <row r="1522" spans="1:8" x14ac:dyDescent="0.25">
      <c r="A1522" s="4" t="str">
        <f>"PIPOKINHA COLADA "</f>
        <v xml:space="preserve">PIPOKINHA COLADA </v>
      </c>
      <c r="B1522" s="4" t="s">
        <v>31</v>
      </c>
      <c r="C1522" s="5">
        <v>28</v>
      </c>
      <c r="D1522" s="5">
        <v>8.1199999999999992</v>
      </c>
      <c r="F1522" s="4" t="s">
        <v>9</v>
      </c>
      <c r="G1522" s="4" t="s">
        <v>4119</v>
      </c>
      <c r="H1522" s="6" t="s">
        <v>11</v>
      </c>
    </row>
    <row r="1523" spans="1:8" x14ac:dyDescent="0.25">
      <c r="A1523" s="4" t="s">
        <v>4131</v>
      </c>
      <c r="B1523" s="4" t="s">
        <v>31</v>
      </c>
      <c r="C1523" s="5">
        <v>28</v>
      </c>
      <c r="D1523" s="5">
        <v>5.99</v>
      </c>
      <c r="F1523" s="4" t="s">
        <v>9</v>
      </c>
      <c r="G1523" s="4" t="s">
        <v>4132</v>
      </c>
      <c r="H1523" s="6" t="s">
        <v>11</v>
      </c>
    </row>
    <row r="1524" spans="1:8" x14ac:dyDescent="0.25">
      <c r="A1524" s="4" t="s">
        <v>4146</v>
      </c>
      <c r="B1524" s="4" t="s">
        <v>31</v>
      </c>
      <c r="C1524" s="5">
        <v>30</v>
      </c>
      <c r="D1524" s="5">
        <v>13.73</v>
      </c>
      <c r="F1524" s="4" t="s">
        <v>9</v>
      </c>
      <c r="G1524" s="4" t="s">
        <v>4147</v>
      </c>
      <c r="H1524" s="6" t="s">
        <v>11</v>
      </c>
    </row>
    <row r="1525" spans="1:8" x14ac:dyDescent="0.25">
      <c r="A1525" s="4" t="s">
        <v>4196</v>
      </c>
      <c r="B1525" s="4" t="s">
        <v>31</v>
      </c>
      <c r="C1525" s="5">
        <v>28</v>
      </c>
      <c r="D1525" s="5">
        <v>10.130000000000001</v>
      </c>
      <c r="F1525" s="4" t="s">
        <v>9</v>
      </c>
      <c r="G1525" s="4" t="s">
        <v>4197</v>
      </c>
      <c r="H1525" s="6" t="s">
        <v>11</v>
      </c>
    </row>
    <row r="1526" spans="1:8" x14ac:dyDescent="0.25">
      <c r="A1526" s="4" t="s">
        <v>4277</v>
      </c>
      <c r="B1526" s="4" t="s">
        <v>31</v>
      </c>
      <c r="C1526" s="5">
        <v>28</v>
      </c>
      <c r="D1526" s="5">
        <v>13.13</v>
      </c>
      <c r="F1526" s="4" t="s">
        <v>9</v>
      </c>
      <c r="G1526" s="4" t="s">
        <v>4278</v>
      </c>
      <c r="H1526" s="6" t="s">
        <v>11</v>
      </c>
    </row>
    <row r="1527" spans="1:8" x14ac:dyDescent="0.25">
      <c r="A1527" s="4" t="s">
        <v>4294</v>
      </c>
      <c r="B1527" s="4" t="s">
        <v>31</v>
      </c>
      <c r="C1527" s="5">
        <v>25</v>
      </c>
      <c r="D1527" s="5">
        <v>3.47</v>
      </c>
      <c r="F1527" s="4" t="s">
        <v>9</v>
      </c>
      <c r="G1527" s="4" t="s">
        <v>4295</v>
      </c>
      <c r="H1527" s="6" t="s">
        <v>11</v>
      </c>
    </row>
    <row r="1528" spans="1:8" x14ac:dyDescent="0.25">
      <c r="A1528" s="4" t="str">
        <f>"RED VELVET NEGRONI "</f>
        <v xml:space="preserve">RED VELVET NEGRONI </v>
      </c>
      <c r="B1528" s="4" t="s">
        <v>31</v>
      </c>
      <c r="C1528" s="5">
        <v>30</v>
      </c>
      <c r="D1528" s="5">
        <v>9.8800000000000008</v>
      </c>
      <c r="F1528" s="4" t="s">
        <v>9</v>
      </c>
      <c r="G1528" s="4" t="s">
        <v>4296</v>
      </c>
      <c r="H1528" s="6" t="s">
        <v>11</v>
      </c>
    </row>
    <row r="1529" spans="1:8" x14ac:dyDescent="0.25">
      <c r="A1529" s="4" t="str">
        <f>"RITA LEE ON ACID "</f>
        <v xml:space="preserve">RITA LEE ON ACID </v>
      </c>
      <c r="B1529" s="4" t="s">
        <v>31</v>
      </c>
      <c r="C1529" s="5">
        <v>30</v>
      </c>
      <c r="D1529" s="5">
        <v>7.73</v>
      </c>
      <c r="F1529" s="4" t="s">
        <v>9</v>
      </c>
      <c r="G1529" s="4" t="s">
        <v>4340</v>
      </c>
      <c r="H1529" s="6" t="s">
        <v>11</v>
      </c>
    </row>
    <row r="1530" spans="1:8" x14ac:dyDescent="0.25">
      <c r="A1530" s="4" t="s">
        <v>4343</v>
      </c>
      <c r="B1530" s="4" t="s">
        <v>31</v>
      </c>
      <c r="C1530" s="5">
        <v>25</v>
      </c>
      <c r="D1530" s="5">
        <v>10.47</v>
      </c>
      <c r="F1530" s="4" t="s">
        <v>9</v>
      </c>
      <c r="G1530" s="4" t="s">
        <v>4344</v>
      </c>
      <c r="H1530" s="6" t="s">
        <v>11</v>
      </c>
    </row>
    <row r="1531" spans="1:8" x14ac:dyDescent="0.25">
      <c r="A1531" s="4" t="s">
        <v>4365</v>
      </c>
      <c r="B1531" s="4" t="s">
        <v>31</v>
      </c>
      <c r="C1531" s="5">
        <v>29</v>
      </c>
      <c r="D1531" s="5">
        <v>20.059999999999999</v>
      </c>
      <c r="F1531" s="4" t="s">
        <v>9</v>
      </c>
      <c r="G1531" s="4" t="s">
        <v>4366</v>
      </c>
      <c r="H1531" s="6" t="s">
        <v>11</v>
      </c>
    </row>
    <row r="1532" spans="1:8" x14ac:dyDescent="0.25">
      <c r="A1532" s="4" t="s">
        <v>4442</v>
      </c>
      <c r="B1532" s="4" t="s">
        <v>31</v>
      </c>
      <c r="C1532" s="5">
        <v>27</v>
      </c>
      <c r="D1532" s="5">
        <v>20.34</v>
      </c>
      <c r="F1532" s="4" t="s">
        <v>9</v>
      </c>
      <c r="G1532" s="4" t="s">
        <v>4443</v>
      </c>
      <c r="H1532" s="6" t="s">
        <v>11</v>
      </c>
    </row>
    <row r="1533" spans="1:8" x14ac:dyDescent="0.25">
      <c r="A1533" s="4" t="str">
        <f>"SMOOTHIE RITA "</f>
        <v xml:space="preserve">SMOOTHIE RITA </v>
      </c>
      <c r="B1533" s="4" t="s">
        <v>31</v>
      </c>
      <c r="C1533" s="5">
        <v>28</v>
      </c>
      <c r="D1533" s="5">
        <v>9.6300000000000008</v>
      </c>
      <c r="F1533" s="4" t="s">
        <v>9</v>
      </c>
      <c r="G1533" s="4" t="s">
        <v>4458</v>
      </c>
      <c r="H1533" s="6" t="s">
        <v>11</v>
      </c>
    </row>
    <row r="1534" spans="1:8" x14ac:dyDescent="0.25">
      <c r="A1534" s="4" t="s">
        <v>4459</v>
      </c>
      <c r="B1534" s="4" t="s">
        <v>31</v>
      </c>
      <c r="C1534" s="5">
        <v>28</v>
      </c>
      <c r="D1534" s="5">
        <v>18</v>
      </c>
      <c r="F1534" s="4" t="s">
        <v>9</v>
      </c>
      <c r="G1534" s="4" t="s">
        <v>4460</v>
      </c>
      <c r="H1534" s="6" t="s">
        <v>11</v>
      </c>
    </row>
    <row r="1535" spans="1:8" x14ac:dyDescent="0.25">
      <c r="A1535" s="4" t="s">
        <v>4475</v>
      </c>
      <c r="B1535" s="4" t="s">
        <v>31</v>
      </c>
      <c r="C1535" s="5">
        <v>28</v>
      </c>
      <c r="D1535" s="5">
        <v>11.67</v>
      </c>
      <c r="F1535" s="4" t="s">
        <v>9</v>
      </c>
      <c r="G1535" s="4" t="s">
        <v>4476</v>
      </c>
      <c r="H1535" s="6" t="s">
        <v>11</v>
      </c>
    </row>
    <row r="1536" spans="1:8" x14ac:dyDescent="0.25">
      <c r="A1536" s="4" t="s">
        <v>4486</v>
      </c>
      <c r="B1536" s="4" t="s">
        <v>31</v>
      </c>
      <c r="C1536" s="5">
        <v>23</v>
      </c>
      <c r="D1536" s="5">
        <v>8.76</v>
      </c>
      <c r="F1536" s="4" t="s">
        <v>9</v>
      </c>
      <c r="G1536" s="4" t="s">
        <v>4487</v>
      </c>
      <c r="H1536" s="6" t="s">
        <v>11</v>
      </c>
    </row>
    <row r="1537" spans="1:8" x14ac:dyDescent="0.25">
      <c r="A1537" s="4" t="s">
        <v>4509</v>
      </c>
      <c r="B1537" s="4" t="s">
        <v>31</v>
      </c>
      <c r="C1537" s="5">
        <v>30</v>
      </c>
      <c r="D1537" s="5">
        <v>14.72</v>
      </c>
      <c r="F1537" s="4" t="s">
        <v>9</v>
      </c>
      <c r="G1537" s="4" t="s">
        <v>4510</v>
      </c>
      <c r="H1537" s="6" t="s">
        <v>11</v>
      </c>
    </row>
    <row r="1538" spans="1:8" x14ac:dyDescent="0.25">
      <c r="A1538" s="4" t="s">
        <v>4511</v>
      </c>
      <c r="B1538" s="4" t="s">
        <v>31</v>
      </c>
      <c r="C1538" s="5">
        <v>29</v>
      </c>
      <c r="D1538" s="5">
        <v>11.22</v>
      </c>
      <c r="F1538" s="4" t="s">
        <v>9</v>
      </c>
      <c r="G1538" s="4" t="s">
        <v>4512</v>
      </c>
      <c r="H1538" s="6" t="s">
        <v>11</v>
      </c>
    </row>
    <row r="1539" spans="1:8" x14ac:dyDescent="0.25">
      <c r="A1539" s="4" t="s">
        <v>4615</v>
      </c>
      <c r="B1539" s="4" t="s">
        <v>31</v>
      </c>
      <c r="C1539" s="5">
        <v>32</v>
      </c>
      <c r="D1539" s="5">
        <v>6.79</v>
      </c>
      <c r="F1539" s="4" t="s">
        <v>9</v>
      </c>
      <c r="G1539" s="4" t="s">
        <v>4616</v>
      </c>
      <c r="H1539" s="6" t="s">
        <v>11</v>
      </c>
    </row>
    <row r="1540" spans="1:8" x14ac:dyDescent="0.25">
      <c r="A1540" s="4" t="s">
        <v>4630</v>
      </c>
      <c r="B1540" s="4" t="s">
        <v>31</v>
      </c>
      <c r="C1540" s="5">
        <v>25</v>
      </c>
      <c r="D1540" s="5">
        <v>12.32</v>
      </c>
      <c r="F1540" s="4" t="s">
        <v>9</v>
      </c>
      <c r="G1540" s="4" t="s">
        <v>4631</v>
      </c>
      <c r="H1540" s="6" t="s">
        <v>11</v>
      </c>
    </row>
    <row r="1541" spans="1:8" x14ac:dyDescent="0.25">
      <c r="A1541" s="4" t="s">
        <v>4646</v>
      </c>
      <c r="B1541" s="4" t="s">
        <v>31</v>
      </c>
      <c r="C1541" s="5">
        <v>30</v>
      </c>
      <c r="D1541" s="5">
        <v>8.0500000000000007</v>
      </c>
      <c r="F1541" s="4" t="s">
        <v>9</v>
      </c>
      <c r="G1541" s="4" t="s">
        <v>4647</v>
      </c>
      <c r="H1541" s="6" t="s">
        <v>11</v>
      </c>
    </row>
    <row r="1542" spans="1:8" x14ac:dyDescent="0.25">
      <c r="A1542" s="4" t="s">
        <v>4719</v>
      </c>
      <c r="B1542" s="4" t="s">
        <v>31</v>
      </c>
      <c r="C1542" s="5">
        <v>26</v>
      </c>
      <c r="D1542" s="5">
        <v>3.98</v>
      </c>
      <c r="F1542" s="4" t="s">
        <v>9</v>
      </c>
      <c r="G1542" s="4" t="s">
        <v>4720</v>
      </c>
      <c r="H1542" s="6" t="s">
        <v>11</v>
      </c>
    </row>
    <row r="1543" spans="1:8" x14ac:dyDescent="0.25">
      <c r="A1543" s="4" t="str">
        <f>"WHISKY  SOUR "</f>
        <v xml:space="preserve">WHISKY  SOUR </v>
      </c>
      <c r="B1543" s="4" t="s">
        <v>31</v>
      </c>
      <c r="C1543" s="5">
        <v>30</v>
      </c>
      <c r="D1543" s="5">
        <v>20.81</v>
      </c>
      <c r="F1543" s="4" t="s">
        <v>9</v>
      </c>
      <c r="G1543" s="4" t="s">
        <v>4806</v>
      </c>
      <c r="H1543" s="6" t="s">
        <v>11</v>
      </c>
    </row>
    <row r="1544" spans="1:8" x14ac:dyDescent="0.25">
      <c r="A1544" s="4" t="s">
        <v>4851</v>
      </c>
      <c r="B1544" s="4" t="s">
        <v>31</v>
      </c>
      <c r="C1544" s="5">
        <v>28</v>
      </c>
      <c r="D1544" s="5">
        <v>7.68</v>
      </c>
      <c r="F1544" s="4" t="s">
        <v>9</v>
      </c>
      <c r="G1544" s="4" t="s">
        <v>4852</v>
      </c>
      <c r="H1544" s="6" t="s">
        <v>11</v>
      </c>
    </row>
    <row r="1545" spans="1:8" x14ac:dyDescent="0.25">
      <c r="A1545" s="4" t="s">
        <v>4942</v>
      </c>
      <c r="B1545" s="4" t="s">
        <v>31</v>
      </c>
      <c r="C1545" s="5">
        <v>25</v>
      </c>
      <c r="D1545" s="5">
        <v>12.17</v>
      </c>
      <c r="F1545" s="4" t="s">
        <v>9</v>
      </c>
      <c r="G1545" s="4" t="s">
        <v>4943</v>
      </c>
      <c r="H1545" s="6" t="s">
        <v>11</v>
      </c>
    </row>
    <row r="1546" spans="1:8" x14ac:dyDescent="0.25">
      <c r="A1546" s="4" t="str">
        <f>"ABSINTO KOSTEN - TAP "</f>
        <v xml:space="preserve">ABSINTO KOSTEN - TAP </v>
      </c>
      <c r="B1546" s="4" t="s">
        <v>53</v>
      </c>
      <c r="D1546" s="5">
        <v>57.01</v>
      </c>
      <c r="F1546" s="4" t="s">
        <v>9</v>
      </c>
      <c r="G1546" s="4" t="s">
        <v>54</v>
      </c>
      <c r="H1546" s="6" t="s">
        <v>11</v>
      </c>
    </row>
    <row r="1547" spans="1:8" x14ac:dyDescent="0.25">
      <c r="A1547" s="4" t="s">
        <v>158</v>
      </c>
      <c r="B1547" s="4" t="s">
        <v>53</v>
      </c>
      <c r="C1547" s="5">
        <v>26</v>
      </c>
      <c r="D1547" s="5">
        <v>4.49</v>
      </c>
      <c r="F1547" s="4" t="s">
        <v>9</v>
      </c>
      <c r="G1547" s="4" t="s">
        <v>159</v>
      </c>
      <c r="H1547" s="6" t="s">
        <v>11</v>
      </c>
    </row>
    <row r="1548" spans="1:8" x14ac:dyDescent="0.25">
      <c r="A1548" s="4" t="str">
        <f>"APERITIVO UNDEBERG - DOSE "</f>
        <v xml:space="preserve">APERITIVO UNDEBERG - DOSE </v>
      </c>
      <c r="B1548" s="4" t="s">
        <v>53</v>
      </c>
      <c r="C1548" s="5">
        <v>20</v>
      </c>
      <c r="D1548" s="5">
        <v>33.36</v>
      </c>
      <c r="F1548" s="4" t="s">
        <v>9</v>
      </c>
      <c r="G1548" s="4" t="s">
        <v>165</v>
      </c>
      <c r="H1548" s="6" t="s">
        <v>11</v>
      </c>
    </row>
    <row r="1549" spans="1:8" x14ac:dyDescent="0.25">
      <c r="A1549" s="4" t="str">
        <f>"CACHAÇA JAMBU- DOSE "</f>
        <v xml:space="preserve">CACHAÇA JAMBU- DOSE </v>
      </c>
      <c r="B1549" s="4" t="s">
        <v>53</v>
      </c>
      <c r="C1549" s="5">
        <v>17</v>
      </c>
      <c r="D1549" s="5">
        <v>5.21</v>
      </c>
      <c r="F1549" s="4" t="s">
        <v>9</v>
      </c>
      <c r="G1549" s="4" t="s">
        <v>442</v>
      </c>
      <c r="H1549" s="6" t="s">
        <v>11</v>
      </c>
    </row>
    <row r="1550" spans="1:8" x14ac:dyDescent="0.25">
      <c r="A1550" s="4" t="str">
        <f>"CACHAÇA REGUI BRASIL "</f>
        <v xml:space="preserve">CACHAÇA REGUI BRASIL </v>
      </c>
      <c r="B1550" s="4" t="s">
        <v>53</v>
      </c>
      <c r="C1550" s="5">
        <v>20</v>
      </c>
      <c r="D1550" s="5">
        <v>5.93</v>
      </c>
      <c r="F1550" s="4" t="s">
        <v>9</v>
      </c>
      <c r="G1550" s="4" t="s">
        <v>443</v>
      </c>
      <c r="H1550" s="6" t="s">
        <v>11</v>
      </c>
    </row>
    <row r="1551" spans="1:8" x14ac:dyDescent="0.25">
      <c r="A1551" s="4" t="s">
        <v>444</v>
      </c>
      <c r="B1551" s="4" t="s">
        <v>53</v>
      </c>
      <c r="C1551" s="5">
        <v>17</v>
      </c>
      <c r="F1551" s="4" t="s">
        <v>9</v>
      </c>
      <c r="G1551" s="4" t="s">
        <v>445</v>
      </c>
      <c r="H1551" s="6" t="s">
        <v>11</v>
      </c>
    </row>
    <row r="1552" spans="1:8" x14ac:dyDescent="0.25">
      <c r="A1552" s="4" t="s">
        <v>641</v>
      </c>
      <c r="B1552" s="4" t="s">
        <v>53</v>
      </c>
      <c r="C1552" s="5">
        <v>17</v>
      </c>
      <c r="D1552" s="5">
        <v>3.28</v>
      </c>
      <c r="F1552" s="4" t="s">
        <v>9</v>
      </c>
      <c r="G1552" s="4" t="s">
        <v>642</v>
      </c>
      <c r="H1552" s="6" t="s">
        <v>11</v>
      </c>
    </row>
    <row r="1553" spans="1:8" x14ac:dyDescent="0.25">
      <c r="A1553" s="4" t="s">
        <v>2316</v>
      </c>
      <c r="B1553" s="4" t="s">
        <v>53</v>
      </c>
      <c r="C1553" s="5">
        <v>26</v>
      </c>
      <c r="D1553" s="5">
        <v>8.39</v>
      </c>
      <c r="F1553" s="4" t="s">
        <v>9</v>
      </c>
      <c r="G1553" s="4" t="s">
        <v>2317</v>
      </c>
      <c r="H1553" s="6" t="s">
        <v>11</v>
      </c>
    </row>
    <row r="1554" spans="1:8" x14ac:dyDescent="0.25">
      <c r="A1554" s="4" t="s">
        <v>2982</v>
      </c>
      <c r="B1554" s="4" t="s">
        <v>53</v>
      </c>
      <c r="C1554" s="5">
        <v>26</v>
      </c>
      <c r="D1554" s="5">
        <v>7.57</v>
      </c>
      <c r="F1554" s="4" t="s">
        <v>9</v>
      </c>
      <c r="G1554" s="4" t="s">
        <v>2983</v>
      </c>
      <c r="H1554" s="6" t="s">
        <v>11</v>
      </c>
    </row>
    <row r="1555" spans="1:8" x14ac:dyDescent="0.25">
      <c r="A1555" s="4" t="s">
        <v>3137</v>
      </c>
      <c r="B1555" s="4" t="s">
        <v>53</v>
      </c>
      <c r="C1555" s="5">
        <v>32</v>
      </c>
      <c r="F1555" s="4" t="s">
        <v>9</v>
      </c>
      <c r="G1555" s="4" t="s">
        <v>3138</v>
      </c>
      <c r="H1555" s="6" t="s">
        <v>11</v>
      </c>
    </row>
    <row r="1556" spans="1:8" x14ac:dyDescent="0.25">
      <c r="A1556" s="4" t="s">
        <v>3140</v>
      </c>
      <c r="B1556" s="4" t="s">
        <v>53</v>
      </c>
      <c r="C1556" s="5">
        <v>26</v>
      </c>
      <c r="D1556" s="5">
        <v>6.48</v>
      </c>
      <c r="F1556" s="4" t="s">
        <v>9</v>
      </c>
      <c r="G1556" s="4" t="s">
        <v>3141</v>
      </c>
      <c r="H1556" s="6" t="s">
        <v>11</v>
      </c>
    </row>
    <row r="1557" spans="1:8" x14ac:dyDescent="0.25">
      <c r="A1557" s="4" t="s">
        <v>3233</v>
      </c>
      <c r="B1557" s="4" t="s">
        <v>53</v>
      </c>
      <c r="C1557" s="5">
        <v>25</v>
      </c>
      <c r="F1557" s="4" t="s">
        <v>9</v>
      </c>
      <c r="G1557" s="4" t="s">
        <v>3234</v>
      </c>
      <c r="H1557" s="6" t="s">
        <v>11</v>
      </c>
    </row>
    <row r="1558" spans="1:8" x14ac:dyDescent="0.25">
      <c r="A1558" s="4" t="s">
        <v>3254</v>
      </c>
      <c r="B1558" s="4" t="s">
        <v>53</v>
      </c>
      <c r="C1558" s="5">
        <v>24</v>
      </c>
      <c r="D1558" s="5">
        <v>8.39</v>
      </c>
      <c r="F1558" s="4" t="s">
        <v>9</v>
      </c>
      <c r="G1558" s="4" t="s">
        <v>3255</v>
      </c>
      <c r="H1558" s="6" t="s">
        <v>11</v>
      </c>
    </row>
    <row r="1559" spans="1:8" x14ac:dyDescent="0.25">
      <c r="A1559" s="4" t="s">
        <v>3256</v>
      </c>
      <c r="B1559" s="4" t="s">
        <v>53</v>
      </c>
      <c r="C1559" s="5">
        <v>24</v>
      </c>
      <c r="D1559" s="5">
        <v>8.59</v>
      </c>
      <c r="F1559" s="4" t="s">
        <v>9</v>
      </c>
      <c r="G1559" s="4" t="s">
        <v>3257</v>
      </c>
      <c r="H1559" s="6" t="s">
        <v>11</v>
      </c>
    </row>
    <row r="1560" spans="1:8" x14ac:dyDescent="0.25">
      <c r="A1560" s="4" t="s">
        <v>3258</v>
      </c>
      <c r="B1560" s="4" t="s">
        <v>53</v>
      </c>
      <c r="C1560" s="5">
        <v>32</v>
      </c>
      <c r="D1560" s="5">
        <v>181.2</v>
      </c>
      <c r="F1560" s="4" t="s">
        <v>9</v>
      </c>
      <c r="G1560" s="4" t="s">
        <v>3259</v>
      </c>
      <c r="H1560" s="6" t="s">
        <v>11</v>
      </c>
    </row>
    <row r="1561" spans="1:8" x14ac:dyDescent="0.25">
      <c r="A1561" s="4" t="s">
        <v>3293</v>
      </c>
      <c r="B1561" s="4" t="s">
        <v>53</v>
      </c>
      <c r="C1561" s="5">
        <v>25</v>
      </c>
      <c r="D1561" s="5">
        <v>11.15</v>
      </c>
      <c r="F1561" s="4" t="s">
        <v>9</v>
      </c>
      <c r="G1561" s="4" t="s">
        <v>3294</v>
      </c>
      <c r="H1561" s="6" t="s">
        <v>11</v>
      </c>
    </row>
    <row r="1562" spans="1:8" x14ac:dyDescent="0.25">
      <c r="A1562" s="4" t="s">
        <v>3301</v>
      </c>
      <c r="B1562" s="4" t="s">
        <v>53</v>
      </c>
      <c r="C1562" s="5">
        <v>22</v>
      </c>
      <c r="D1562" s="5">
        <v>8.3699999999999992</v>
      </c>
      <c r="F1562" s="4" t="s">
        <v>9</v>
      </c>
      <c r="G1562" s="4" t="s">
        <v>3302</v>
      </c>
      <c r="H1562" s="6" t="s">
        <v>11</v>
      </c>
    </row>
    <row r="1563" spans="1:8" x14ac:dyDescent="0.25">
      <c r="A1563" s="4" t="s">
        <v>3326</v>
      </c>
      <c r="B1563" s="4" t="s">
        <v>53</v>
      </c>
      <c r="C1563" s="5">
        <v>25</v>
      </c>
      <c r="D1563" s="5">
        <v>4.93</v>
      </c>
      <c r="F1563" s="4" t="s">
        <v>9</v>
      </c>
      <c r="G1563" s="4" t="s">
        <v>3327</v>
      </c>
      <c r="H1563" s="6" t="s">
        <v>11</v>
      </c>
    </row>
    <row r="1564" spans="1:8" x14ac:dyDescent="0.25">
      <c r="A1564" s="4" t="str">
        <f>"OLD PAR  - DOSE "</f>
        <v xml:space="preserve">OLD PAR  - DOSE </v>
      </c>
      <c r="B1564" s="4" t="s">
        <v>53</v>
      </c>
      <c r="C1564" s="5">
        <v>20</v>
      </c>
      <c r="D1564" s="5">
        <v>8.27</v>
      </c>
      <c r="F1564" s="4" t="s">
        <v>9</v>
      </c>
      <c r="G1564" s="4" t="s">
        <v>3932</v>
      </c>
      <c r="H1564" s="6" t="s">
        <v>11</v>
      </c>
    </row>
    <row r="1565" spans="1:8" x14ac:dyDescent="0.25">
      <c r="A1565" s="4" t="str">
        <f>"PEACHTREE- DOSE "</f>
        <v xml:space="preserve">PEACHTREE- DOSE </v>
      </c>
      <c r="B1565" s="4" t="s">
        <v>53</v>
      </c>
      <c r="C1565" s="5">
        <v>26</v>
      </c>
      <c r="D1565" s="5">
        <v>130.06</v>
      </c>
      <c r="F1565" s="4" t="s">
        <v>9</v>
      </c>
      <c r="G1565" s="4" t="s">
        <v>4066</v>
      </c>
      <c r="H1565" s="6" t="s">
        <v>11</v>
      </c>
    </row>
    <row r="1566" spans="1:8" x14ac:dyDescent="0.25">
      <c r="A1566" s="4" t="s">
        <v>4349</v>
      </c>
      <c r="B1566" s="4" t="s">
        <v>53</v>
      </c>
      <c r="C1566" s="5">
        <v>23</v>
      </c>
      <c r="D1566" s="5">
        <v>9.24</v>
      </c>
      <c r="F1566" s="4" t="s">
        <v>9</v>
      </c>
      <c r="G1566" s="4" t="s">
        <v>4350</v>
      </c>
      <c r="H1566" s="6" t="s">
        <v>11</v>
      </c>
    </row>
    <row r="1567" spans="1:8" x14ac:dyDescent="0.25">
      <c r="A1567" s="4" t="s">
        <v>4353</v>
      </c>
      <c r="B1567" s="4" t="s">
        <v>53</v>
      </c>
      <c r="C1567" s="5">
        <v>19</v>
      </c>
      <c r="D1567" s="5">
        <v>1.92</v>
      </c>
      <c r="F1567" s="4" t="s">
        <v>9</v>
      </c>
      <c r="G1567" s="4" t="s">
        <v>4354</v>
      </c>
      <c r="H1567" s="6" t="s">
        <v>11</v>
      </c>
    </row>
    <row r="1568" spans="1:8" x14ac:dyDescent="0.25">
      <c r="A1568" s="4" t="s">
        <v>4359</v>
      </c>
      <c r="B1568" s="4" t="s">
        <v>53</v>
      </c>
      <c r="C1568" s="5">
        <v>19</v>
      </c>
      <c r="D1568" s="5">
        <v>2.74</v>
      </c>
      <c r="F1568" s="4" t="s">
        <v>9</v>
      </c>
      <c r="G1568" s="4" t="s">
        <v>4360</v>
      </c>
      <c r="H1568" s="6" t="s">
        <v>11</v>
      </c>
    </row>
    <row r="1569" spans="1:8" x14ac:dyDescent="0.25">
      <c r="A1569" s="4" t="str">
        <f>"SHOT HEMORRAGIA CEREBRAL - ESTOQUE "</f>
        <v xml:space="preserve">SHOT HEMORRAGIA CEREBRAL - ESTOQUE </v>
      </c>
      <c r="B1569" s="4" t="s">
        <v>53</v>
      </c>
      <c r="C1569" s="5">
        <v>27</v>
      </c>
      <c r="D1569" s="5">
        <v>9.8699999999999992</v>
      </c>
      <c r="F1569" s="4" t="s">
        <v>9</v>
      </c>
      <c r="G1569" s="4" t="s">
        <v>4451</v>
      </c>
      <c r="H1569" s="6" t="s">
        <v>11</v>
      </c>
    </row>
    <row r="1570" spans="1:8" x14ac:dyDescent="0.25">
      <c r="A1570" s="4" t="str">
        <f>"TRIVISAN- DOSE "</f>
        <v xml:space="preserve">TRIVISAN- DOSE </v>
      </c>
      <c r="B1570" s="4" t="s">
        <v>53</v>
      </c>
      <c r="C1570" s="5">
        <v>17</v>
      </c>
      <c r="D1570" s="5">
        <v>3.47</v>
      </c>
      <c r="F1570" s="4" t="s">
        <v>9</v>
      </c>
      <c r="G1570" s="4" t="s">
        <v>4670</v>
      </c>
      <c r="H1570" s="6" t="s">
        <v>11</v>
      </c>
    </row>
    <row r="1571" spans="1:8" x14ac:dyDescent="0.25">
      <c r="A1571" s="4" t="str">
        <f>"VODKA ABSOLUT  VANILLA - DOSE "</f>
        <v xml:space="preserve">VODKA ABSOLUT  VANILLA - DOSE </v>
      </c>
      <c r="B1571" s="4" t="s">
        <v>53</v>
      </c>
      <c r="C1571" s="5">
        <v>20</v>
      </c>
      <c r="D1571" s="5">
        <v>57.01</v>
      </c>
      <c r="F1571" s="4" t="s">
        <v>9</v>
      </c>
      <c r="G1571" s="4" t="s">
        <v>4762</v>
      </c>
      <c r="H1571" s="6" t="s">
        <v>11</v>
      </c>
    </row>
    <row r="1572" spans="1:8" x14ac:dyDescent="0.25">
      <c r="A1572" s="4" t="str">
        <f>"VODKA ABSOLUT -  DOSE "</f>
        <v xml:space="preserve">VODKA ABSOLUT -  DOSE </v>
      </c>
      <c r="B1572" s="4" t="s">
        <v>53</v>
      </c>
      <c r="C1572" s="5">
        <v>20</v>
      </c>
      <c r="D1572" s="5">
        <v>4.21</v>
      </c>
      <c r="F1572" s="4" t="s">
        <v>9</v>
      </c>
      <c r="G1572" s="4" t="s">
        <v>4763</v>
      </c>
      <c r="H1572" s="6" t="s">
        <v>11</v>
      </c>
    </row>
    <row r="1573" spans="1:8" x14ac:dyDescent="0.25">
      <c r="A1573" s="4" t="str">
        <f>"VODKA BASTARDS-DOSE "</f>
        <v xml:space="preserve">VODKA BASTARDS-DOSE </v>
      </c>
      <c r="B1573" s="4" t="s">
        <v>53</v>
      </c>
      <c r="C1573" s="5">
        <v>20</v>
      </c>
      <c r="D1573" s="5">
        <v>21</v>
      </c>
      <c r="F1573" s="4" t="s">
        <v>9</v>
      </c>
      <c r="G1573" s="4" t="s">
        <v>4773</v>
      </c>
      <c r="H1573" s="6" t="s">
        <v>11</v>
      </c>
    </row>
    <row r="1574" spans="1:8" x14ac:dyDescent="0.25">
      <c r="A1574" s="4" t="s">
        <v>4776</v>
      </c>
      <c r="B1574" s="4" t="s">
        <v>53</v>
      </c>
      <c r="C1574" s="5">
        <v>22</v>
      </c>
      <c r="D1574" s="5">
        <v>3.61</v>
      </c>
      <c r="F1574" s="4" t="s">
        <v>9</v>
      </c>
      <c r="G1574" s="4" t="s">
        <v>4777</v>
      </c>
      <c r="H1574" s="6" t="s">
        <v>11</v>
      </c>
    </row>
    <row r="1575" spans="1:8" x14ac:dyDescent="0.25">
      <c r="A1575" s="4" t="s">
        <v>4782</v>
      </c>
      <c r="B1575" s="4" t="s">
        <v>53</v>
      </c>
      <c r="C1575" s="5">
        <v>18</v>
      </c>
      <c r="D1575" s="5">
        <v>1.98</v>
      </c>
      <c r="F1575" s="4" t="s">
        <v>9</v>
      </c>
      <c r="G1575" s="4" t="s">
        <v>4783</v>
      </c>
      <c r="H1575" s="6" t="s">
        <v>11</v>
      </c>
    </row>
    <row r="1576" spans="1:8" x14ac:dyDescent="0.25">
      <c r="A1576" s="4" t="s">
        <v>4807</v>
      </c>
      <c r="B1576" s="4" t="s">
        <v>53</v>
      </c>
      <c r="C1576" s="5">
        <v>26</v>
      </c>
      <c r="F1576" s="4" t="s">
        <v>59</v>
      </c>
      <c r="G1576" s="4" t="s">
        <v>4808</v>
      </c>
      <c r="H1576" s="6" t="s">
        <v>11</v>
      </c>
    </row>
    <row r="1577" spans="1:8" x14ac:dyDescent="0.25">
      <c r="A1577" s="4" t="s">
        <v>4811</v>
      </c>
      <c r="B1577" s="4" t="s">
        <v>53</v>
      </c>
      <c r="C1577" s="5">
        <v>24</v>
      </c>
      <c r="D1577" s="5">
        <v>4.45</v>
      </c>
      <c r="F1577" s="4" t="s">
        <v>59</v>
      </c>
      <c r="G1577" s="4" t="s">
        <v>4812</v>
      </c>
      <c r="H1577" s="6" t="s">
        <v>11</v>
      </c>
    </row>
    <row r="1578" spans="1:8" x14ac:dyDescent="0.25">
      <c r="A1578" s="4" t="s">
        <v>4815</v>
      </c>
      <c r="B1578" s="4" t="s">
        <v>53</v>
      </c>
      <c r="C1578" s="5">
        <v>28</v>
      </c>
      <c r="D1578" s="5">
        <v>11.19</v>
      </c>
      <c r="F1578" s="4" t="s">
        <v>59</v>
      </c>
      <c r="G1578" s="4" t="s">
        <v>4816</v>
      </c>
      <c r="H1578" s="6" t="s">
        <v>11</v>
      </c>
    </row>
    <row r="1579" spans="1:8" x14ac:dyDescent="0.25">
      <c r="A1579" s="4" t="s">
        <v>4821</v>
      </c>
      <c r="B1579" s="4" t="s">
        <v>53</v>
      </c>
      <c r="C1579" s="5">
        <v>36</v>
      </c>
      <c r="F1579" s="4" t="s">
        <v>59</v>
      </c>
      <c r="G1579" s="4" t="s">
        <v>4822</v>
      </c>
      <c r="H1579" s="6" t="s">
        <v>11</v>
      </c>
    </row>
    <row r="1580" spans="1:8" x14ac:dyDescent="0.25">
      <c r="A1580" s="4" t="str">
        <f>"WHISKY JACK DANIEL'S - DOSE "</f>
        <v xml:space="preserve">WHISKY JACK DANIEL'S - DOSE </v>
      </c>
      <c r="B1580" s="4" t="s">
        <v>53</v>
      </c>
      <c r="C1580" s="5">
        <v>26</v>
      </c>
      <c r="D1580" s="5">
        <v>8.39</v>
      </c>
      <c r="F1580" s="4" t="s">
        <v>59</v>
      </c>
      <c r="G1580" s="4" t="s">
        <v>4825</v>
      </c>
      <c r="H1580" s="6" t="s">
        <v>11</v>
      </c>
    </row>
    <row r="1581" spans="1:8" x14ac:dyDescent="0.25">
      <c r="A1581" s="4" t="s">
        <v>4830</v>
      </c>
      <c r="B1581" s="4" t="s">
        <v>53</v>
      </c>
      <c r="C1581" s="5">
        <v>25</v>
      </c>
      <c r="D1581" s="5">
        <v>5.0599999999999996</v>
      </c>
      <c r="F1581" s="4" t="s">
        <v>9</v>
      </c>
      <c r="G1581" s="4" t="s">
        <v>4831</v>
      </c>
      <c r="H1581" s="6" t="s">
        <v>11</v>
      </c>
    </row>
    <row r="1582" spans="1:8" x14ac:dyDescent="0.25">
      <c r="A1582" s="4" t="s">
        <v>4835</v>
      </c>
      <c r="B1582" s="4" t="s">
        <v>53</v>
      </c>
      <c r="C1582" s="5">
        <v>36</v>
      </c>
      <c r="D1582" s="5">
        <v>2.59</v>
      </c>
      <c r="F1582" s="4" t="s">
        <v>9</v>
      </c>
      <c r="G1582" s="4" t="s">
        <v>4836</v>
      </c>
      <c r="H1582" s="6" t="s">
        <v>11</v>
      </c>
    </row>
    <row r="1583" spans="1:8" x14ac:dyDescent="0.25">
      <c r="A1583" s="4" t="s">
        <v>4839</v>
      </c>
      <c r="B1583" s="4" t="s">
        <v>53</v>
      </c>
      <c r="C1583" s="5">
        <v>36</v>
      </c>
      <c r="D1583" s="5">
        <v>15.96</v>
      </c>
      <c r="F1583" s="4" t="s">
        <v>9</v>
      </c>
      <c r="G1583" s="4" t="s">
        <v>4840</v>
      </c>
      <c r="H1583" s="6" t="s">
        <v>11</v>
      </c>
    </row>
    <row r="1584" spans="1:8" x14ac:dyDescent="0.25">
      <c r="A1584" s="4" t="s">
        <v>4845</v>
      </c>
      <c r="B1584" s="4" t="s">
        <v>53</v>
      </c>
      <c r="C1584" s="5">
        <v>20</v>
      </c>
      <c r="D1584" s="5">
        <v>4.6500000000000004</v>
      </c>
      <c r="F1584" s="4" t="s">
        <v>59</v>
      </c>
      <c r="G1584" s="4" t="s">
        <v>4846</v>
      </c>
      <c r="H1584" s="6" t="s">
        <v>11</v>
      </c>
    </row>
    <row r="1585" spans="1:8" x14ac:dyDescent="0.25">
      <c r="A1585" s="4" t="str">
        <f>"WHISKY SINGLETON - DOSE "</f>
        <v xml:space="preserve">WHISKY SINGLETON - DOSE </v>
      </c>
      <c r="B1585" s="4" t="s">
        <v>53</v>
      </c>
      <c r="C1585" s="5">
        <v>34</v>
      </c>
      <c r="D1585" s="5">
        <v>167.93</v>
      </c>
      <c r="F1585" s="4" t="s">
        <v>9</v>
      </c>
      <c r="G1585" s="4" t="s">
        <v>4849</v>
      </c>
      <c r="H1585" s="6" t="s">
        <v>11</v>
      </c>
    </row>
    <row r="1586" spans="1:8" x14ac:dyDescent="0.25">
      <c r="A1586" s="4" t="s">
        <v>4853</v>
      </c>
      <c r="B1586" s="4" t="s">
        <v>53</v>
      </c>
      <c r="C1586" s="5">
        <v>24</v>
      </c>
      <c r="D1586" s="5">
        <v>7.19</v>
      </c>
      <c r="F1586" s="4" t="s">
        <v>9</v>
      </c>
      <c r="G1586" s="4" t="s">
        <v>4854</v>
      </c>
      <c r="H1586" s="6" t="s">
        <v>11</v>
      </c>
    </row>
    <row r="1587" spans="1:8" x14ac:dyDescent="0.25">
      <c r="A1587" s="4" t="str">
        <f>" CAFE DA MANHA EM BEAGA   ESTOQUE "</f>
        <v xml:space="preserve"> CAFE DA MANHA EM BEAGA   ESTOQUE </v>
      </c>
      <c r="B1587" s="4" t="s">
        <v>12</v>
      </c>
      <c r="D1587" s="5">
        <v>18.5</v>
      </c>
      <c r="F1587" s="4" t="s">
        <v>9</v>
      </c>
      <c r="G1587" s="4" t="s">
        <v>13</v>
      </c>
      <c r="H1587" s="6" t="s">
        <v>11</v>
      </c>
    </row>
    <row r="1588" spans="1:8" x14ac:dyDescent="0.25">
      <c r="A1588" s="4" t="str">
        <f>" CHOPE DOG SAVE THE BEER - 400ML"</f>
        <v xml:space="preserve"> CHOPE DOG SAVE THE BEER - 400ML</v>
      </c>
      <c r="B1588" s="4" t="s">
        <v>12</v>
      </c>
      <c r="C1588" s="5">
        <v>25</v>
      </c>
      <c r="D1588" s="5">
        <v>6.03</v>
      </c>
      <c r="F1588" s="4" t="s">
        <v>9</v>
      </c>
      <c r="G1588" s="4" t="s">
        <v>14</v>
      </c>
      <c r="H1588" s="6" t="s">
        <v>11</v>
      </c>
    </row>
    <row r="1589" spans="1:8" x14ac:dyDescent="0.25">
      <c r="A1589" s="4" t="str">
        <f>" CHOPE FUMACONICA HASH BLACK DOUBLE BLACK IPA 400ML "</f>
        <v xml:space="preserve"> CHOPE FUMACONICA HASH BLACK DOUBLE BLACK IPA 400ML </v>
      </c>
      <c r="B1589" s="4" t="s">
        <v>12</v>
      </c>
      <c r="C1589" s="5">
        <v>25</v>
      </c>
      <c r="D1589" s="5">
        <v>0.88</v>
      </c>
      <c r="F1589" s="4" t="s">
        <v>9</v>
      </c>
      <c r="G1589" s="4" t="s">
        <v>15</v>
      </c>
      <c r="H1589" s="6" t="s">
        <v>11</v>
      </c>
    </row>
    <row r="1590" spans="1:8" x14ac:dyDescent="0.25">
      <c r="A1590" s="4" t="str">
        <f>" CHOPE LUCY IN THE SKY - WITBIER 300ML"</f>
        <v xml:space="preserve"> CHOPE LUCY IN THE SKY - WITBIER 300ML</v>
      </c>
      <c r="B1590" s="4" t="s">
        <v>12</v>
      </c>
      <c r="C1590" s="5">
        <v>20</v>
      </c>
      <c r="D1590" s="5">
        <v>4.6500000000000004</v>
      </c>
      <c r="F1590" s="4" t="s">
        <v>9</v>
      </c>
      <c r="G1590" s="4" t="s">
        <v>16</v>
      </c>
      <c r="H1590" s="6" t="s">
        <v>11</v>
      </c>
    </row>
    <row r="1591" spans="1:8" x14ac:dyDescent="0.25">
      <c r="A1591" s="4" t="str">
        <f>" CHOPE LUCY IN THE SKY - WITBIER 400ML"</f>
        <v xml:space="preserve"> CHOPE LUCY IN THE SKY - WITBIER 400ML</v>
      </c>
      <c r="B1591" s="4" t="s">
        <v>12</v>
      </c>
      <c r="C1591" s="5">
        <v>25</v>
      </c>
      <c r="D1591" s="5">
        <v>6.2</v>
      </c>
      <c r="F1591" s="4" t="s">
        <v>9</v>
      </c>
      <c r="G1591" s="4" t="s">
        <v>17</v>
      </c>
      <c r="H1591" s="6" t="s">
        <v>11</v>
      </c>
    </row>
    <row r="1592" spans="1:8" x14ac:dyDescent="0.25">
      <c r="A1592" s="4" t="str">
        <f>" CHOPE NEW ZEALAND - HAZY IPA 300ML"</f>
        <v xml:space="preserve"> CHOPE NEW ZEALAND - HAZY IPA 300ML</v>
      </c>
      <c r="B1592" s="4" t="s">
        <v>12</v>
      </c>
      <c r="C1592" s="5">
        <v>20</v>
      </c>
      <c r="D1592" s="5">
        <v>7.2</v>
      </c>
      <c r="F1592" s="4" t="s">
        <v>9</v>
      </c>
      <c r="G1592" s="4" t="s">
        <v>18</v>
      </c>
      <c r="H1592" s="6" t="s">
        <v>11</v>
      </c>
    </row>
    <row r="1593" spans="1:8" x14ac:dyDescent="0.25">
      <c r="A1593" s="4" t="str">
        <f>" CHOPE SCHERKLALALA - 400ML "</f>
        <v xml:space="preserve"> CHOPE SCHERKLALALA - 400ML </v>
      </c>
      <c r="B1593" s="4" t="s">
        <v>12</v>
      </c>
      <c r="C1593" s="5">
        <v>25</v>
      </c>
      <c r="D1593" s="5">
        <v>6</v>
      </c>
      <c r="F1593" s="4" t="s">
        <v>9</v>
      </c>
      <c r="G1593" s="4" t="s">
        <v>19</v>
      </c>
      <c r="H1593" s="6" t="s">
        <v>11</v>
      </c>
    </row>
    <row r="1594" spans="1:8" x14ac:dyDescent="0.25">
      <c r="A1594" s="4" t="str">
        <f>" CHOPE SIMPLE CHOICE 300ML "</f>
        <v xml:space="preserve"> CHOPE SIMPLE CHOICE 300ML </v>
      </c>
      <c r="B1594" s="4" t="s">
        <v>12</v>
      </c>
      <c r="C1594" s="5">
        <v>17</v>
      </c>
      <c r="D1594" s="5">
        <v>5.37</v>
      </c>
      <c r="F1594" s="4" t="s">
        <v>9</v>
      </c>
      <c r="G1594" s="4" t="s">
        <v>20</v>
      </c>
      <c r="H1594" s="6" t="s">
        <v>11</v>
      </c>
    </row>
    <row r="1595" spans="1:8" x14ac:dyDescent="0.25">
      <c r="A1595" s="4" t="str">
        <f>" NUUV HARD TEA- ESTOQUE TAP"</f>
        <v xml:space="preserve"> NUUV HARD TEA- ESTOQUE TAP</v>
      </c>
      <c r="B1595" s="4" t="s">
        <v>12</v>
      </c>
      <c r="C1595" s="5">
        <v>15</v>
      </c>
      <c r="D1595" s="5">
        <v>15</v>
      </c>
      <c r="F1595" s="4" t="s">
        <v>9</v>
      </c>
      <c r="G1595" s="4" t="s">
        <v>21</v>
      </c>
      <c r="H1595" s="6" t="s">
        <v>11</v>
      </c>
    </row>
    <row r="1596" spans="1:8" x14ac:dyDescent="0.25">
      <c r="A1596" s="4" t="str">
        <f>" XAMA- QUEDA TROPICAL  - 400ML "</f>
        <v xml:space="preserve"> XAMA- QUEDA TROPICAL  - 400ML </v>
      </c>
      <c r="B1596" s="4" t="s">
        <v>12</v>
      </c>
      <c r="C1596" s="5">
        <v>25</v>
      </c>
      <c r="D1596" s="5">
        <v>7.76</v>
      </c>
      <c r="F1596" s="4" t="s">
        <v>9</v>
      </c>
      <c r="G1596" s="4" t="s">
        <v>22</v>
      </c>
      <c r="H1596" s="6" t="s">
        <v>11</v>
      </c>
    </row>
    <row r="1597" spans="1:8" x14ac:dyDescent="0.25">
      <c r="A1597" s="4" t="s">
        <v>23</v>
      </c>
      <c r="B1597" s="4" t="s">
        <v>12</v>
      </c>
      <c r="C1597" s="5">
        <v>45</v>
      </c>
      <c r="D1597" s="5">
        <v>4.07</v>
      </c>
      <c r="F1597" s="4" t="s">
        <v>9</v>
      </c>
      <c r="G1597" s="4" t="s">
        <v>24</v>
      </c>
      <c r="H1597" s="6" t="s">
        <v>11</v>
      </c>
    </row>
    <row r="1598" spans="1:8" x14ac:dyDescent="0.25">
      <c r="A1598" s="4" t="s">
        <v>27</v>
      </c>
      <c r="B1598" s="4" t="s">
        <v>12</v>
      </c>
      <c r="C1598" s="5">
        <v>35</v>
      </c>
      <c r="D1598" s="5">
        <v>4.07</v>
      </c>
      <c r="F1598" s="4" t="s">
        <v>9</v>
      </c>
      <c r="G1598" s="4" t="s">
        <v>29</v>
      </c>
      <c r="H1598" s="6" t="s">
        <v>11</v>
      </c>
    </row>
    <row r="1599" spans="1:8" x14ac:dyDescent="0.25">
      <c r="A1599" s="4" t="str">
        <f>"AMERICAN PALE ALE  - CHOPE ODISSEIA DA SERIGUELA  300ML "</f>
        <v xml:space="preserve">AMERICAN PALE ALE  - CHOPE ODISSEIA DA SERIGUELA  300ML </v>
      </c>
      <c r="B1599" s="4" t="s">
        <v>12</v>
      </c>
      <c r="C1599" s="5">
        <v>20</v>
      </c>
      <c r="D1599" s="5">
        <v>2.89</v>
      </c>
      <c r="F1599" s="4" t="s">
        <v>9</v>
      </c>
      <c r="G1599" s="4" t="s">
        <v>144</v>
      </c>
      <c r="H1599" s="6" t="s">
        <v>11</v>
      </c>
    </row>
    <row r="1600" spans="1:8" x14ac:dyDescent="0.25">
      <c r="A1600" s="4" t="str">
        <f>"AMERICAN PALE ALE - CHOPE ODISSEIA DA SERIGUELA  400ML "</f>
        <v xml:space="preserve">AMERICAN PALE ALE - CHOPE ODISSEIA DA SERIGUELA  400ML </v>
      </c>
      <c r="B1600" s="4" t="s">
        <v>12</v>
      </c>
      <c r="C1600" s="5">
        <v>25</v>
      </c>
      <c r="D1600" s="5">
        <v>4.07</v>
      </c>
      <c r="F1600" s="4" t="s">
        <v>9</v>
      </c>
      <c r="G1600" s="4" t="s">
        <v>145</v>
      </c>
      <c r="H1600" s="6" t="s">
        <v>11</v>
      </c>
    </row>
    <row r="1601" spans="1:8" x14ac:dyDescent="0.25">
      <c r="A1601" s="4" t="s">
        <v>154</v>
      </c>
      <c r="B1601" s="4" t="s">
        <v>12</v>
      </c>
      <c r="C1601" s="5">
        <v>20</v>
      </c>
      <c r="D1601" s="5">
        <v>1.37</v>
      </c>
      <c r="F1601" s="4" t="s">
        <v>9</v>
      </c>
      <c r="G1601" s="4" t="s">
        <v>155</v>
      </c>
      <c r="H1601" s="6" t="s">
        <v>11</v>
      </c>
    </row>
    <row r="1602" spans="1:8" x14ac:dyDescent="0.25">
      <c r="A1602" s="4" t="s">
        <v>156</v>
      </c>
      <c r="B1602" s="4" t="s">
        <v>12</v>
      </c>
      <c r="C1602" s="5">
        <v>25</v>
      </c>
      <c r="D1602" s="5">
        <v>1.82</v>
      </c>
      <c r="F1602" s="4" t="s">
        <v>9</v>
      </c>
      <c r="G1602" s="4" t="s">
        <v>157</v>
      </c>
      <c r="H1602" s="6" t="s">
        <v>11</v>
      </c>
    </row>
    <row r="1603" spans="1:8" x14ac:dyDescent="0.25">
      <c r="A1603" s="4" t="s">
        <v>273</v>
      </c>
      <c r="B1603" s="4" t="s">
        <v>12</v>
      </c>
      <c r="C1603" s="5">
        <v>40</v>
      </c>
      <c r="F1603" s="4" t="s">
        <v>9</v>
      </c>
      <c r="G1603" s="4" t="s">
        <v>274</v>
      </c>
      <c r="H1603" s="6" t="s">
        <v>11</v>
      </c>
    </row>
    <row r="1604" spans="1:8" x14ac:dyDescent="0.25">
      <c r="A1604" s="4" t="str">
        <f>"BONNA BEER -TROPICAL FOREST -300ML "</f>
        <v xml:space="preserve">BONNA BEER -TROPICAL FOREST -300ML </v>
      </c>
      <c r="B1604" s="4" t="s">
        <v>12</v>
      </c>
      <c r="C1604" s="5">
        <v>20</v>
      </c>
      <c r="D1604" s="5">
        <v>5.81</v>
      </c>
      <c r="F1604" s="4" t="s">
        <v>9</v>
      </c>
      <c r="G1604" s="4" t="s">
        <v>372</v>
      </c>
      <c r="H1604" s="6" t="s">
        <v>11</v>
      </c>
    </row>
    <row r="1605" spans="1:8" x14ac:dyDescent="0.25">
      <c r="A1605" s="4" t="str">
        <f>"BONNA BEER- TROPICAL FOREST -400ML "</f>
        <v xml:space="preserve">BONNA BEER- TROPICAL FOREST -400ML </v>
      </c>
      <c r="B1605" s="4" t="s">
        <v>12</v>
      </c>
      <c r="C1605" s="5">
        <v>25</v>
      </c>
      <c r="D1605" s="5">
        <v>7.75</v>
      </c>
      <c r="F1605" s="4" t="s">
        <v>9</v>
      </c>
      <c r="G1605" s="4" t="s">
        <v>373</v>
      </c>
      <c r="H1605" s="6" t="s">
        <v>11</v>
      </c>
    </row>
    <row r="1606" spans="1:8" x14ac:dyDescent="0.25">
      <c r="A1606" s="4" t="s">
        <v>751</v>
      </c>
      <c r="B1606" s="4" t="s">
        <v>12</v>
      </c>
      <c r="C1606" s="5">
        <v>24.9</v>
      </c>
      <c r="D1606" s="5">
        <v>15.68</v>
      </c>
      <c r="E1606" s="5">
        <v>34</v>
      </c>
      <c r="F1606" s="4" t="s">
        <v>9</v>
      </c>
      <c r="G1606" s="4" t="s">
        <v>752</v>
      </c>
      <c r="H1606" s="6" t="s">
        <v>11</v>
      </c>
    </row>
    <row r="1607" spans="1:8" x14ac:dyDescent="0.25">
      <c r="A1607" s="4" t="s">
        <v>755</v>
      </c>
      <c r="B1607" s="4" t="s">
        <v>12</v>
      </c>
      <c r="C1607" s="5">
        <v>21.9</v>
      </c>
      <c r="D1607" s="5">
        <v>12.9</v>
      </c>
      <c r="E1607" s="5">
        <v>60</v>
      </c>
      <c r="F1607" s="4" t="s">
        <v>9</v>
      </c>
      <c r="G1607" s="4" t="s">
        <v>756</v>
      </c>
      <c r="H1607" s="6" t="s">
        <v>11</v>
      </c>
    </row>
    <row r="1608" spans="1:8" x14ac:dyDescent="0.25">
      <c r="A1608" s="4" t="s">
        <v>757</v>
      </c>
      <c r="B1608" s="4" t="s">
        <v>12</v>
      </c>
      <c r="C1608" s="5">
        <v>21</v>
      </c>
      <c r="D1608" s="5">
        <v>15.5</v>
      </c>
      <c r="E1608" s="5">
        <v>48</v>
      </c>
      <c r="F1608" s="4" t="s">
        <v>9</v>
      </c>
      <c r="G1608" s="4" t="s">
        <v>758</v>
      </c>
      <c r="H1608" s="6" t="s">
        <v>11</v>
      </c>
    </row>
    <row r="1609" spans="1:8" x14ac:dyDescent="0.25">
      <c r="A1609" s="4" t="s">
        <v>759</v>
      </c>
      <c r="B1609" s="4" t="s">
        <v>12</v>
      </c>
      <c r="C1609" s="5">
        <v>24.9</v>
      </c>
      <c r="D1609" s="5">
        <v>12.9</v>
      </c>
      <c r="F1609" s="4" t="s">
        <v>9</v>
      </c>
      <c r="G1609" s="4" t="s">
        <v>760</v>
      </c>
      <c r="H1609" s="6" t="s">
        <v>11</v>
      </c>
    </row>
    <row r="1610" spans="1:8" x14ac:dyDescent="0.25">
      <c r="A1610" s="4" t="str">
        <f>"CHOPE  IRONICA HOPLAND - 300ML "</f>
        <v xml:space="preserve">CHOPE  IRONICA HOPLAND - 300ML </v>
      </c>
      <c r="B1610" s="4" t="s">
        <v>12</v>
      </c>
      <c r="C1610" s="5">
        <v>20</v>
      </c>
      <c r="D1610" s="5">
        <v>5.07</v>
      </c>
      <c r="F1610" s="4" t="s">
        <v>9</v>
      </c>
      <c r="G1610" s="4" t="s">
        <v>881</v>
      </c>
      <c r="H1610" s="6" t="s">
        <v>11</v>
      </c>
    </row>
    <row r="1611" spans="1:8" x14ac:dyDescent="0.25">
      <c r="A1611" s="4" t="str">
        <f>"CHOPE  MARIA NAVALHA 300ML "</f>
        <v xml:space="preserve">CHOPE  MARIA NAVALHA 300ML </v>
      </c>
      <c r="B1611" s="4" t="s">
        <v>12</v>
      </c>
      <c r="C1611" s="5">
        <v>20</v>
      </c>
      <c r="D1611" s="5">
        <v>6.57</v>
      </c>
      <c r="F1611" s="4" t="s">
        <v>9</v>
      </c>
      <c r="G1611" s="4" t="s">
        <v>896</v>
      </c>
      <c r="H1611" s="6" t="s">
        <v>11</v>
      </c>
    </row>
    <row r="1612" spans="1:8" x14ac:dyDescent="0.25">
      <c r="A1612" s="4" t="str">
        <f>"CHOPE  MARIA NAVALHA 400ML "</f>
        <v xml:space="preserve">CHOPE  MARIA NAVALHA 400ML </v>
      </c>
      <c r="B1612" s="4" t="s">
        <v>12</v>
      </c>
      <c r="C1612" s="5">
        <v>25</v>
      </c>
      <c r="D1612" s="5">
        <v>8.76</v>
      </c>
      <c r="F1612" s="4" t="s">
        <v>9</v>
      </c>
      <c r="G1612" s="4" t="s">
        <v>897</v>
      </c>
      <c r="H1612" s="6" t="s">
        <v>11</v>
      </c>
    </row>
    <row r="1613" spans="1:8" x14ac:dyDescent="0.25">
      <c r="A1613" s="4" t="s">
        <v>907</v>
      </c>
      <c r="B1613" s="4" t="s">
        <v>12</v>
      </c>
      <c r="C1613" s="5">
        <v>20</v>
      </c>
      <c r="D1613" s="5">
        <v>8.25</v>
      </c>
      <c r="F1613" s="4" t="s">
        <v>9</v>
      </c>
      <c r="G1613" s="4" t="s">
        <v>908</v>
      </c>
      <c r="H1613" s="6" t="s">
        <v>11</v>
      </c>
    </row>
    <row r="1614" spans="1:8" x14ac:dyDescent="0.25">
      <c r="A1614" s="4" t="str">
        <f>"CHOPE  TITANUS NEW ENGLAND - 400ML "</f>
        <v xml:space="preserve">CHOPE  TITANUS NEW ENGLAND - 400ML </v>
      </c>
      <c r="B1614" s="4" t="s">
        <v>12</v>
      </c>
      <c r="C1614" s="5">
        <v>25</v>
      </c>
      <c r="D1614" s="5">
        <v>11</v>
      </c>
      <c r="F1614" s="4" t="s">
        <v>9</v>
      </c>
      <c r="G1614" s="4" t="s">
        <v>909</v>
      </c>
      <c r="H1614" s="6" t="s">
        <v>11</v>
      </c>
    </row>
    <row r="1615" spans="1:8" x14ac:dyDescent="0.25">
      <c r="A1615" s="4" t="s">
        <v>911</v>
      </c>
      <c r="B1615" s="4" t="s">
        <v>12</v>
      </c>
      <c r="C1615" s="5">
        <v>20</v>
      </c>
      <c r="D1615" s="5">
        <v>4.54</v>
      </c>
      <c r="F1615" s="4" t="s">
        <v>59</v>
      </c>
      <c r="G1615" s="4" t="s">
        <v>912</v>
      </c>
      <c r="H1615" s="6" t="s">
        <v>11</v>
      </c>
    </row>
    <row r="1616" spans="1:8" x14ac:dyDescent="0.25">
      <c r="A1616" s="4" t="s">
        <v>913</v>
      </c>
      <c r="B1616" s="4" t="s">
        <v>12</v>
      </c>
      <c r="C1616" s="5">
        <v>25</v>
      </c>
      <c r="D1616" s="5">
        <v>6.05</v>
      </c>
      <c r="F1616" s="4" t="s">
        <v>59</v>
      </c>
      <c r="G1616" s="4" t="s">
        <v>914</v>
      </c>
      <c r="H1616" s="6" t="s">
        <v>11</v>
      </c>
    </row>
    <row r="1617" spans="1:8" x14ac:dyDescent="0.25">
      <c r="A1617" s="4" t="s">
        <v>917</v>
      </c>
      <c r="B1617" s="4" t="s">
        <v>12</v>
      </c>
      <c r="C1617" s="5">
        <v>25</v>
      </c>
      <c r="D1617" s="5">
        <v>4.8899999999999997</v>
      </c>
      <c r="F1617" s="4" t="s">
        <v>9</v>
      </c>
      <c r="G1617" s="4" t="s">
        <v>918</v>
      </c>
      <c r="H1617" s="6" t="s">
        <v>11</v>
      </c>
    </row>
    <row r="1618" spans="1:8" x14ac:dyDescent="0.25">
      <c r="A1618" s="4" t="str">
        <f>"CHOPE 4HOPS CHRONOS - 400ML "</f>
        <v xml:space="preserve">CHOPE 4HOPS CHRONOS - 400ML </v>
      </c>
      <c r="B1618" s="4" t="s">
        <v>12</v>
      </c>
      <c r="C1618" s="5">
        <v>25</v>
      </c>
      <c r="D1618" s="5">
        <v>4.8899999999999997</v>
      </c>
      <c r="F1618" s="4" t="s">
        <v>9</v>
      </c>
      <c r="G1618" s="4" t="s">
        <v>919</v>
      </c>
      <c r="H1618" s="6" t="s">
        <v>11</v>
      </c>
    </row>
    <row r="1619" spans="1:8" x14ac:dyDescent="0.25">
      <c r="A1619" s="4" t="s">
        <v>920</v>
      </c>
      <c r="B1619" s="4" t="s">
        <v>12</v>
      </c>
      <c r="C1619" s="5">
        <v>20</v>
      </c>
      <c r="D1619" s="5">
        <v>55.94</v>
      </c>
      <c r="F1619" s="4" t="s">
        <v>9</v>
      </c>
      <c r="G1619" s="4" t="s">
        <v>921</v>
      </c>
      <c r="H1619" s="6" t="s">
        <v>11</v>
      </c>
    </row>
    <row r="1620" spans="1:8" x14ac:dyDescent="0.25">
      <c r="A1620" s="4" t="s">
        <v>922</v>
      </c>
      <c r="B1620" s="4" t="s">
        <v>12</v>
      </c>
      <c r="C1620" s="5">
        <v>25</v>
      </c>
      <c r="D1620" s="5">
        <v>74.59</v>
      </c>
      <c r="F1620" s="4" t="s">
        <v>9</v>
      </c>
      <c r="G1620" s="4" t="s">
        <v>923</v>
      </c>
      <c r="H1620" s="6" t="s">
        <v>11</v>
      </c>
    </row>
    <row r="1621" spans="1:8" x14ac:dyDescent="0.25">
      <c r="A1621" s="4" t="str">
        <f>"CHOPE ACID BLOOD -  300ML "</f>
        <v xml:space="preserve">CHOPE ACID BLOOD -  300ML </v>
      </c>
      <c r="B1621" s="4" t="s">
        <v>12</v>
      </c>
      <c r="C1621" s="5">
        <v>20</v>
      </c>
      <c r="D1621" s="5">
        <v>3.62</v>
      </c>
      <c r="F1621" s="4" t="s">
        <v>9</v>
      </c>
      <c r="G1621" s="4" t="s">
        <v>925</v>
      </c>
      <c r="H1621" s="6" t="s">
        <v>11</v>
      </c>
    </row>
    <row r="1622" spans="1:8" x14ac:dyDescent="0.25">
      <c r="A1622" s="4" t="str">
        <f>"CHOPE ACID BLOOD -  400ML "</f>
        <v xml:space="preserve">CHOPE ACID BLOOD -  400ML </v>
      </c>
      <c r="B1622" s="4" t="s">
        <v>12</v>
      </c>
      <c r="C1622" s="5">
        <v>25</v>
      </c>
      <c r="D1622" s="5">
        <v>4.83</v>
      </c>
      <c r="F1622" s="4" t="s">
        <v>9</v>
      </c>
      <c r="G1622" s="4" t="s">
        <v>926</v>
      </c>
      <c r="H1622" s="6" t="s">
        <v>11</v>
      </c>
    </row>
    <row r="1623" spans="1:8" x14ac:dyDescent="0.25">
      <c r="A1623" s="4" t="s">
        <v>927</v>
      </c>
      <c r="B1623" s="4" t="s">
        <v>12</v>
      </c>
      <c r="C1623" s="5">
        <v>20</v>
      </c>
      <c r="D1623" s="5">
        <v>5.55</v>
      </c>
      <c r="F1623" s="4" t="s">
        <v>9</v>
      </c>
      <c r="G1623" s="4" t="s">
        <v>928</v>
      </c>
      <c r="H1623" s="6" t="s">
        <v>11</v>
      </c>
    </row>
    <row r="1624" spans="1:8" x14ac:dyDescent="0.25">
      <c r="A1624" s="4" t="str">
        <f>"CHOPE ACID EATERS- 400ML "</f>
        <v xml:space="preserve">CHOPE ACID EATERS- 400ML </v>
      </c>
      <c r="B1624" s="4" t="s">
        <v>12</v>
      </c>
      <c r="C1624" s="5">
        <v>25</v>
      </c>
      <c r="D1624" s="5">
        <v>7.4</v>
      </c>
      <c r="F1624" s="4" t="s">
        <v>9</v>
      </c>
      <c r="G1624" s="4" t="s">
        <v>929</v>
      </c>
      <c r="H1624" s="6" t="s">
        <v>11</v>
      </c>
    </row>
    <row r="1625" spans="1:8" x14ac:dyDescent="0.25">
      <c r="A1625" s="4" t="s">
        <v>932</v>
      </c>
      <c r="B1625" s="4" t="s">
        <v>12</v>
      </c>
      <c r="C1625" s="5">
        <v>20</v>
      </c>
      <c r="D1625" s="5">
        <v>5.31</v>
      </c>
      <c r="F1625" s="4" t="s">
        <v>9</v>
      </c>
      <c r="G1625" s="4" t="s">
        <v>933</v>
      </c>
      <c r="H1625" s="6" t="s">
        <v>11</v>
      </c>
    </row>
    <row r="1626" spans="1:8" x14ac:dyDescent="0.25">
      <c r="A1626" s="4" t="str">
        <f>"CHOPE ALL ALONG- 400ML "</f>
        <v xml:space="preserve">CHOPE ALL ALONG- 400ML </v>
      </c>
      <c r="B1626" s="4" t="s">
        <v>12</v>
      </c>
      <c r="C1626" s="5">
        <v>25</v>
      </c>
      <c r="D1626" s="5">
        <v>7.08</v>
      </c>
      <c r="F1626" s="4" t="s">
        <v>9</v>
      </c>
      <c r="G1626" s="4" t="s">
        <v>934</v>
      </c>
      <c r="H1626" s="6" t="s">
        <v>11</v>
      </c>
    </row>
    <row r="1627" spans="1:8" x14ac:dyDescent="0.25">
      <c r="A1627" s="4" t="s">
        <v>936</v>
      </c>
      <c r="B1627" s="4" t="s">
        <v>12</v>
      </c>
      <c r="C1627" s="5">
        <v>20</v>
      </c>
      <c r="D1627" s="5">
        <v>4.8</v>
      </c>
      <c r="F1627" s="4" t="s">
        <v>9</v>
      </c>
      <c r="G1627" s="4" t="s">
        <v>937</v>
      </c>
      <c r="H1627" s="6" t="s">
        <v>11</v>
      </c>
    </row>
    <row r="1628" spans="1:8" x14ac:dyDescent="0.25">
      <c r="A1628" s="4" t="str">
        <f>"CHOPE ALL IN  400ML "</f>
        <v xml:space="preserve">CHOPE ALL IN  400ML </v>
      </c>
      <c r="B1628" s="4" t="s">
        <v>12</v>
      </c>
      <c r="C1628" s="5">
        <v>25</v>
      </c>
      <c r="D1628" s="5">
        <v>6.4</v>
      </c>
      <c r="F1628" s="4" t="s">
        <v>9</v>
      </c>
      <c r="G1628" s="4" t="s">
        <v>940</v>
      </c>
      <c r="H1628" s="6" t="s">
        <v>11</v>
      </c>
    </row>
    <row r="1629" spans="1:8" x14ac:dyDescent="0.25">
      <c r="A1629" s="4" t="str">
        <f>"CHOPE ALRIGHT - GRIZZLY GIANT - RIS - 250ML "</f>
        <v xml:space="preserve">CHOPE ALRIGHT - GRIZZLY GIANT - RIS - 250ML </v>
      </c>
      <c r="B1629" s="4" t="s">
        <v>12</v>
      </c>
      <c r="C1629" s="5">
        <v>30</v>
      </c>
      <c r="D1629" s="5">
        <v>4.9800000000000004</v>
      </c>
      <c r="F1629" s="4" t="s">
        <v>9</v>
      </c>
      <c r="G1629" s="4" t="s">
        <v>941</v>
      </c>
      <c r="H1629" s="6" t="s">
        <v>11</v>
      </c>
    </row>
    <row r="1630" spans="1:8" x14ac:dyDescent="0.25">
      <c r="A1630" s="4" t="str">
        <f>"CHOPE ALRIGHT LOVELY DAY - 300ML "</f>
        <v xml:space="preserve">CHOPE ALRIGHT LOVELY DAY - 300ML </v>
      </c>
      <c r="B1630" s="4" t="s">
        <v>12</v>
      </c>
      <c r="C1630" s="5">
        <v>20</v>
      </c>
      <c r="D1630" s="5">
        <v>5.67</v>
      </c>
      <c r="F1630" s="4" t="s">
        <v>9</v>
      </c>
      <c r="G1630" s="4" t="s">
        <v>943</v>
      </c>
      <c r="H1630" s="6" t="s">
        <v>11</v>
      </c>
    </row>
    <row r="1631" spans="1:8" x14ac:dyDescent="0.25">
      <c r="A1631" s="4" t="s">
        <v>944</v>
      </c>
      <c r="B1631" s="4" t="s">
        <v>12</v>
      </c>
      <c r="C1631" s="5">
        <v>25</v>
      </c>
      <c r="D1631" s="5">
        <v>7.56</v>
      </c>
      <c r="F1631" s="4" t="s">
        <v>9</v>
      </c>
      <c r="G1631" s="4" t="s">
        <v>945</v>
      </c>
      <c r="H1631" s="6" t="s">
        <v>11</v>
      </c>
    </row>
    <row r="1632" spans="1:8" x14ac:dyDescent="0.25">
      <c r="A1632" s="4" t="str">
        <f>"CHOPE AMERICAN WHEAT- 300ML "</f>
        <v xml:space="preserve">CHOPE AMERICAN WHEAT- 300ML </v>
      </c>
      <c r="B1632" s="4" t="s">
        <v>12</v>
      </c>
      <c r="C1632" s="5">
        <v>20</v>
      </c>
      <c r="D1632" s="5">
        <v>5.25</v>
      </c>
      <c r="F1632" s="4" t="s">
        <v>9</v>
      </c>
      <c r="G1632" s="4" t="s">
        <v>950</v>
      </c>
      <c r="H1632" s="6" t="s">
        <v>11</v>
      </c>
    </row>
    <row r="1633" spans="1:8" x14ac:dyDescent="0.25">
      <c r="A1633" s="4" t="str">
        <f>"CHOPE AMERICAN WHEAT- 400ML "</f>
        <v xml:space="preserve">CHOPE AMERICAN WHEAT- 400ML </v>
      </c>
      <c r="B1633" s="4" t="s">
        <v>12</v>
      </c>
      <c r="C1633" s="5">
        <v>25</v>
      </c>
      <c r="D1633" s="5">
        <v>7</v>
      </c>
      <c r="F1633" s="4" t="s">
        <v>9</v>
      </c>
      <c r="G1633" s="4" t="s">
        <v>951</v>
      </c>
      <c r="H1633" s="6" t="s">
        <v>11</v>
      </c>
    </row>
    <row r="1634" spans="1:8" x14ac:dyDescent="0.25">
      <c r="A1634" s="4" t="str">
        <f>"CHOPE ANARQUICA DARK DAWN - 300ML "</f>
        <v xml:space="preserve">CHOPE ANARQUICA DARK DAWN - 300ML </v>
      </c>
      <c r="B1634" s="4" t="s">
        <v>12</v>
      </c>
      <c r="C1634" s="5">
        <v>25</v>
      </c>
      <c r="D1634" s="5">
        <v>6.06</v>
      </c>
      <c r="F1634" s="4" t="s">
        <v>9</v>
      </c>
      <c r="G1634" s="4" t="s">
        <v>955</v>
      </c>
      <c r="H1634" s="6" t="s">
        <v>11</v>
      </c>
    </row>
    <row r="1635" spans="1:8" x14ac:dyDescent="0.25">
      <c r="A1635" s="4" t="s">
        <v>956</v>
      </c>
      <c r="B1635" s="4" t="s">
        <v>12</v>
      </c>
      <c r="C1635" s="5">
        <v>30</v>
      </c>
      <c r="D1635" s="5">
        <v>6.06</v>
      </c>
      <c r="F1635" s="4" t="s">
        <v>9</v>
      </c>
      <c r="G1635" s="4" t="s">
        <v>957</v>
      </c>
      <c r="H1635" s="6" t="s">
        <v>11</v>
      </c>
    </row>
    <row r="1636" spans="1:8" x14ac:dyDescent="0.25">
      <c r="A1636" s="4" t="s">
        <v>958</v>
      </c>
      <c r="B1636" s="4" t="s">
        <v>12</v>
      </c>
      <c r="C1636" s="5">
        <v>20</v>
      </c>
      <c r="D1636" s="5">
        <v>7.17</v>
      </c>
      <c r="F1636" s="4" t="s">
        <v>9</v>
      </c>
      <c r="G1636" s="4" t="s">
        <v>959</v>
      </c>
      <c r="H1636" s="6" t="s">
        <v>11</v>
      </c>
    </row>
    <row r="1637" spans="1:8" x14ac:dyDescent="0.25">
      <c r="A1637" s="4" t="str">
        <f>"CHOPE ANARQUICA HAHAHAKA - 400ML "</f>
        <v xml:space="preserve">CHOPE ANARQUICA HAHAHAKA - 400ML </v>
      </c>
      <c r="B1637" s="4" t="s">
        <v>12</v>
      </c>
      <c r="C1637" s="5">
        <v>25</v>
      </c>
      <c r="D1637" s="5">
        <v>9.56</v>
      </c>
      <c r="F1637" s="4" t="s">
        <v>9</v>
      </c>
      <c r="G1637" s="4" t="s">
        <v>960</v>
      </c>
      <c r="H1637" s="6" t="s">
        <v>11</v>
      </c>
    </row>
    <row r="1638" spans="1:8" x14ac:dyDescent="0.25">
      <c r="A1638" s="4" t="s">
        <v>963</v>
      </c>
      <c r="B1638" s="4" t="s">
        <v>12</v>
      </c>
      <c r="C1638" s="5">
        <v>20</v>
      </c>
      <c r="D1638" s="5">
        <v>5.7</v>
      </c>
      <c r="F1638" s="4" t="s">
        <v>9</v>
      </c>
      <c r="G1638" s="4" t="s">
        <v>964</v>
      </c>
      <c r="H1638" s="6" t="s">
        <v>11</v>
      </c>
    </row>
    <row r="1639" spans="1:8" x14ac:dyDescent="0.25">
      <c r="A1639" s="4" t="str">
        <f>"CHOPE ARTIC MOON COLD IPA - 400ML "</f>
        <v xml:space="preserve">CHOPE ARTIC MOON COLD IPA - 400ML </v>
      </c>
      <c r="B1639" s="4" t="s">
        <v>12</v>
      </c>
      <c r="C1639" s="5">
        <v>25</v>
      </c>
      <c r="D1639" s="5">
        <v>7.6</v>
      </c>
      <c r="F1639" s="4" t="s">
        <v>9</v>
      </c>
      <c r="G1639" s="4" t="s">
        <v>965</v>
      </c>
      <c r="H1639" s="6" t="s">
        <v>11</v>
      </c>
    </row>
    <row r="1640" spans="1:8" x14ac:dyDescent="0.25">
      <c r="A1640" s="4" t="str">
        <f>"CHOPE ARTIC MOON COLD IPA - ESTOQUE TAP "</f>
        <v xml:space="preserve">CHOPE ARTIC MOON COLD IPA - ESTOQUE TAP </v>
      </c>
      <c r="B1640" s="4" t="s">
        <v>12</v>
      </c>
      <c r="D1640" s="5">
        <v>19</v>
      </c>
      <c r="F1640" s="4" t="s">
        <v>9</v>
      </c>
      <c r="G1640" s="4" t="s">
        <v>966</v>
      </c>
      <c r="H1640" s="6" t="s">
        <v>11</v>
      </c>
    </row>
    <row r="1641" spans="1:8" x14ac:dyDescent="0.25">
      <c r="A1641" s="4" t="s">
        <v>967</v>
      </c>
      <c r="B1641" s="4" t="s">
        <v>12</v>
      </c>
      <c r="C1641" s="5">
        <v>20</v>
      </c>
      <c r="D1641" s="5">
        <v>6.57</v>
      </c>
      <c r="F1641" s="4" t="s">
        <v>9</v>
      </c>
      <c r="G1641" s="4" t="s">
        <v>968</v>
      </c>
      <c r="H1641" s="6" t="s">
        <v>11</v>
      </c>
    </row>
    <row r="1642" spans="1:8" x14ac:dyDescent="0.25">
      <c r="A1642" s="4" t="str">
        <f>"CHOPE BASTARDS + GO BREW - MARACAJU - 400ML "</f>
        <v xml:space="preserve">CHOPE BASTARDS + GO BREW - MARACAJU - 400ML </v>
      </c>
      <c r="B1642" s="4" t="s">
        <v>12</v>
      </c>
      <c r="C1642" s="5">
        <v>25</v>
      </c>
      <c r="D1642" s="5">
        <v>8.76</v>
      </c>
      <c r="F1642" s="4" t="s">
        <v>9</v>
      </c>
      <c r="G1642" s="4" t="s">
        <v>969</v>
      </c>
      <c r="H1642" s="6" t="s">
        <v>11</v>
      </c>
    </row>
    <row r="1643" spans="1:8" x14ac:dyDescent="0.25">
      <c r="A1643" s="4" t="s">
        <v>970</v>
      </c>
      <c r="B1643" s="4" t="s">
        <v>12</v>
      </c>
      <c r="D1643" s="5">
        <v>14</v>
      </c>
      <c r="F1643" s="4" t="s">
        <v>59</v>
      </c>
      <c r="G1643" s="4" t="s">
        <v>971</v>
      </c>
      <c r="H1643" s="6" t="s">
        <v>11</v>
      </c>
    </row>
    <row r="1644" spans="1:8" x14ac:dyDescent="0.25">
      <c r="A1644" s="4" t="str">
        <f>"CHOPE BASTARDS RANNA RIDER  - 300ML "</f>
        <v xml:space="preserve">CHOPE BASTARDS RANNA RIDER  - 300ML </v>
      </c>
      <c r="B1644" s="4" t="s">
        <v>12</v>
      </c>
      <c r="C1644" s="5">
        <v>20</v>
      </c>
      <c r="D1644" s="5">
        <v>5.0999999999999996</v>
      </c>
      <c r="F1644" s="4" t="s">
        <v>9</v>
      </c>
      <c r="G1644" s="4" t="s">
        <v>972</v>
      </c>
      <c r="H1644" s="6" t="s">
        <v>11</v>
      </c>
    </row>
    <row r="1645" spans="1:8" x14ac:dyDescent="0.25">
      <c r="A1645" s="4" t="str">
        <f>"CHOPE BASTARDS RANNA RIDER  - 400ML "</f>
        <v xml:space="preserve">CHOPE BASTARDS RANNA RIDER  - 400ML </v>
      </c>
      <c r="B1645" s="4" t="s">
        <v>12</v>
      </c>
      <c r="C1645" s="5">
        <v>25</v>
      </c>
      <c r="D1645" s="5">
        <v>6.8</v>
      </c>
      <c r="F1645" s="4" t="s">
        <v>9</v>
      </c>
      <c r="G1645" s="4" t="s">
        <v>973</v>
      </c>
      <c r="H1645" s="6" t="s">
        <v>11</v>
      </c>
    </row>
    <row r="1646" spans="1:8" x14ac:dyDescent="0.25">
      <c r="A1646" s="4" t="s">
        <v>974</v>
      </c>
      <c r="B1646" s="4" t="s">
        <v>12</v>
      </c>
      <c r="D1646" s="5">
        <v>21</v>
      </c>
      <c r="F1646" s="4" t="s">
        <v>59</v>
      </c>
      <c r="G1646" s="4" t="s">
        <v>975</v>
      </c>
      <c r="H1646" s="6" t="s">
        <v>11</v>
      </c>
    </row>
    <row r="1647" spans="1:8" x14ac:dyDescent="0.25">
      <c r="A1647" s="4" t="s">
        <v>976</v>
      </c>
      <c r="B1647" s="4" t="s">
        <v>12</v>
      </c>
      <c r="C1647" s="5">
        <v>20</v>
      </c>
      <c r="D1647" s="5">
        <v>6.6</v>
      </c>
      <c r="F1647" s="4" t="s">
        <v>9</v>
      </c>
      <c r="G1647" s="4" t="s">
        <v>977</v>
      </c>
      <c r="H1647" s="6" t="s">
        <v>11</v>
      </c>
    </row>
    <row r="1648" spans="1:8" x14ac:dyDescent="0.25">
      <c r="A1648" s="4" t="str">
        <f>"CHOPE BASTARDS XP 094 HOP HEADS SESSION IPA - 400ML "</f>
        <v xml:space="preserve">CHOPE BASTARDS XP 094 HOP HEADS SESSION IPA - 400ML </v>
      </c>
      <c r="B1648" s="4" t="s">
        <v>12</v>
      </c>
      <c r="C1648" s="5">
        <v>25</v>
      </c>
      <c r="D1648" s="5">
        <v>9.6</v>
      </c>
      <c r="F1648" s="4" t="s">
        <v>9</v>
      </c>
      <c r="G1648" s="4" t="s">
        <v>978</v>
      </c>
      <c r="H1648" s="6" t="s">
        <v>11</v>
      </c>
    </row>
    <row r="1649" spans="1:8" x14ac:dyDescent="0.25">
      <c r="A1649" s="4" t="s">
        <v>979</v>
      </c>
      <c r="B1649" s="4" t="s">
        <v>12</v>
      </c>
      <c r="C1649" s="5">
        <v>25</v>
      </c>
      <c r="D1649" s="5">
        <v>8.8000000000000007</v>
      </c>
      <c r="F1649" s="4" t="s">
        <v>9</v>
      </c>
      <c r="G1649" s="4" t="s">
        <v>980</v>
      </c>
      <c r="H1649" s="6" t="s">
        <v>11</v>
      </c>
    </row>
    <row r="1650" spans="1:8" x14ac:dyDescent="0.25">
      <c r="A1650" s="4" t="str">
        <f>"CHOPE BASTARDS XP094 HOP HEADS SESSION IPA - 300ML "</f>
        <v xml:space="preserve">CHOPE BASTARDS XP094 HOP HEADS SESSION IPA - 300ML </v>
      </c>
      <c r="B1650" s="4" t="s">
        <v>12</v>
      </c>
      <c r="C1650" s="5">
        <v>20</v>
      </c>
      <c r="D1650" s="5">
        <v>5.72</v>
      </c>
      <c r="F1650" s="4" t="s">
        <v>9</v>
      </c>
      <c r="G1650" s="4" t="s">
        <v>981</v>
      </c>
      <c r="H1650" s="6" t="s">
        <v>11</v>
      </c>
    </row>
    <row r="1651" spans="1:8" x14ac:dyDescent="0.25">
      <c r="A1651" s="4" t="s">
        <v>983</v>
      </c>
      <c r="B1651" s="4" t="s">
        <v>12</v>
      </c>
      <c r="C1651" s="5">
        <v>20</v>
      </c>
      <c r="D1651" s="5">
        <v>4.54</v>
      </c>
      <c r="F1651" s="4" t="s">
        <v>9</v>
      </c>
      <c r="G1651" s="4" t="s">
        <v>984</v>
      </c>
      <c r="H1651" s="6" t="s">
        <v>11</v>
      </c>
    </row>
    <row r="1652" spans="1:8" x14ac:dyDescent="0.25">
      <c r="A1652" s="4" t="s">
        <v>985</v>
      </c>
      <c r="B1652" s="4" t="s">
        <v>12</v>
      </c>
      <c r="C1652" s="5">
        <v>25</v>
      </c>
      <c r="D1652" s="5">
        <v>6.05</v>
      </c>
      <c r="F1652" s="4" t="s">
        <v>9</v>
      </c>
      <c r="G1652" s="4" t="s">
        <v>986</v>
      </c>
      <c r="H1652" s="6" t="s">
        <v>11</v>
      </c>
    </row>
    <row r="1653" spans="1:8" x14ac:dyDescent="0.25">
      <c r="A1653" s="4" t="s">
        <v>987</v>
      </c>
      <c r="B1653" s="4" t="s">
        <v>12</v>
      </c>
      <c r="C1653" s="5">
        <v>20</v>
      </c>
      <c r="D1653" s="5">
        <v>9.16</v>
      </c>
      <c r="F1653" s="4" t="s">
        <v>9</v>
      </c>
      <c r="G1653" s="4" t="s">
        <v>988</v>
      </c>
      <c r="H1653" s="6" t="s">
        <v>11</v>
      </c>
    </row>
    <row r="1654" spans="1:8" x14ac:dyDescent="0.25">
      <c r="A1654" s="4" t="str">
        <f>"CHOPE BASTARDS XP92 GOLDEN NEW ENGLAND IPA - 400ML "</f>
        <v xml:space="preserve">CHOPE BASTARDS XP92 GOLDEN NEW ENGLAND IPA - 400ML </v>
      </c>
      <c r="B1654" s="4" t="s">
        <v>12</v>
      </c>
      <c r="C1654" s="5">
        <v>25</v>
      </c>
      <c r="D1654" s="5">
        <v>9.16</v>
      </c>
      <c r="F1654" s="4" t="s">
        <v>9</v>
      </c>
      <c r="G1654" s="4" t="s">
        <v>989</v>
      </c>
      <c r="H1654" s="6" t="s">
        <v>11</v>
      </c>
    </row>
    <row r="1655" spans="1:8" x14ac:dyDescent="0.25">
      <c r="A1655" s="4" t="s">
        <v>991</v>
      </c>
      <c r="B1655" s="4" t="s">
        <v>12</v>
      </c>
      <c r="C1655" s="5">
        <v>17</v>
      </c>
      <c r="D1655" s="5">
        <v>3.05</v>
      </c>
      <c r="F1655" s="4" t="s">
        <v>9</v>
      </c>
      <c r="G1655" s="4" t="s">
        <v>992</v>
      </c>
      <c r="H1655" s="6" t="s">
        <v>11</v>
      </c>
    </row>
    <row r="1656" spans="1:8" x14ac:dyDescent="0.25">
      <c r="A1656" s="4" t="s">
        <v>993</v>
      </c>
      <c r="B1656" s="4" t="s">
        <v>12</v>
      </c>
      <c r="C1656" s="5">
        <v>20</v>
      </c>
      <c r="D1656" s="5">
        <v>4.07</v>
      </c>
      <c r="F1656" s="4" t="s">
        <v>9</v>
      </c>
      <c r="G1656" s="4" t="s">
        <v>994</v>
      </c>
      <c r="H1656" s="6" t="s">
        <v>11</v>
      </c>
    </row>
    <row r="1657" spans="1:8" x14ac:dyDescent="0.25">
      <c r="A1657" s="4" t="str">
        <f>"CHOPE BELGIAN IPA   300ML - "</f>
        <v xml:space="preserve">CHOPE BELGIAN IPA   300ML - </v>
      </c>
      <c r="B1657" s="4" t="s">
        <v>12</v>
      </c>
      <c r="C1657" s="5">
        <v>20</v>
      </c>
      <c r="D1657" s="5">
        <v>5.01</v>
      </c>
      <c r="F1657" s="4" t="s">
        <v>9</v>
      </c>
      <c r="G1657" s="4" t="s">
        <v>995</v>
      </c>
      <c r="H1657" s="6" t="s">
        <v>11</v>
      </c>
    </row>
    <row r="1658" spans="1:8" x14ac:dyDescent="0.25">
      <c r="A1658" s="4" t="str">
        <f>"CHOPE BELGIAN IPA- 400ML "</f>
        <v xml:space="preserve">CHOPE BELGIAN IPA- 400ML </v>
      </c>
      <c r="B1658" s="4" t="s">
        <v>12</v>
      </c>
      <c r="C1658" s="5">
        <v>25</v>
      </c>
      <c r="D1658" s="5">
        <v>6.68</v>
      </c>
      <c r="F1658" s="4" t="s">
        <v>9</v>
      </c>
      <c r="G1658" s="4" t="s">
        <v>997</v>
      </c>
      <c r="H1658" s="6" t="s">
        <v>11</v>
      </c>
    </row>
    <row r="1659" spans="1:8" x14ac:dyDescent="0.25">
      <c r="A1659" s="4" t="str">
        <f>"CHOPE BERLINE WEISSE 300ML "</f>
        <v xml:space="preserve">CHOPE BERLINE WEISSE 300ML </v>
      </c>
      <c r="B1659" s="4" t="s">
        <v>12</v>
      </c>
      <c r="C1659" s="5">
        <v>20</v>
      </c>
      <c r="D1659" s="5">
        <v>4.9800000000000004</v>
      </c>
      <c r="F1659" s="4" t="s">
        <v>9</v>
      </c>
      <c r="G1659" s="4" t="s">
        <v>998</v>
      </c>
      <c r="H1659" s="6" t="s">
        <v>11</v>
      </c>
    </row>
    <row r="1660" spans="1:8" x14ac:dyDescent="0.25">
      <c r="A1660" s="4" t="str">
        <f>"CHOPE BERLINE WEISSE 400ML - "</f>
        <v xml:space="preserve">CHOPE BERLINE WEISSE 400ML - </v>
      </c>
      <c r="B1660" s="4" t="s">
        <v>12</v>
      </c>
      <c r="C1660" s="5">
        <v>25</v>
      </c>
      <c r="D1660" s="5">
        <v>5.7</v>
      </c>
      <c r="F1660" s="4" t="s">
        <v>9</v>
      </c>
      <c r="G1660" s="4" t="s">
        <v>999</v>
      </c>
      <c r="H1660" s="6" t="s">
        <v>11</v>
      </c>
    </row>
    <row r="1661" spans="1:8" x14ac:dyDescent="0.25">
      <c r="A1661" s="4" t="s">
        <v>1002</v>
      </c>
      <c r="B1661" s="4" t="s">
        <v>12</v>
      </c>
      <c r="C1661" s="5">
        <v>20</v>
      </c>
      <c r="D1661" s="5">
        <v>4.9800000000000004</v>
      </c>
      <c r="F1661" s="4" t="s">
        <v>9</v>
      </c>
      <c r="G1661" s="4" t="s">
        <v>1003</v>
      </c>
      <c r="H1661" s="6" t="s">
        <v>11</v>
      </c>
    </row>
    <row r="1662" spans="1:8" x14ac:dyDescent="0.25">
      <c r="A1662" s="4" t="s">
        <v>1004</v>
      </c>
      <c r="B1662" s="4" t="s">
        <v>12</v>
      </c>
      <c r="C1662" s="5">
        <v>25</v>
      </c>
      <c r="D1662" s="5">
        <v>6.64</v>
      </c>
      <c r="F1662" s="4" t="s">
        <v>9</v>
      </c>
      <c r="G1662" s="4" t="s">
        <v>1005</v>
      </c>
      <c r="H1662" s="6" t="s">
        <v>11</v>
      </c>
    </row>
    <row r="1663" spans="1:8" x14ac:dyDescent="0.25">
      <c r="A1663" s="4" t="s">
        <v>1006</v>
      </c>
      <c r="B1663" s="4" t="s">
        <v>12</v>
      </c>
      <c r="C1663" s="5">
        <v>20</v>
      </c>
      <c r="D1663" s="5">
        <v>8</v>
      </c>
      <c r="F1663" s="4" t="s">
        <v>9</v>
      </c>
      <c r="G1663" s="4" t="s">
        <v>1007</v>
      </c>
      <c r="H1663" s="6" t="s">
        <v>11</v>
      </c>
    </row>
    <row r="1664" spans="1:8" x14ac:dyDescent="0.25">
      <c r="A1664" s="4" t="s">
        <v>1008</v>
      </c>
      <c r="B1664" s="4" t="s">
        <v>12</v>
      </c>
      <c r="C1664" s="5">
        <v>25</v>
      </c>
      <c r="D1664" s="5">
        <v>8</v>
      </c>
      <c r="F1664" s="4" t="s">
        <v>9</v>
      </c>
      <c r="G1664" s="4" t="s">
        <v>1009</v>
      </c>
      <c r="H1664" s="6" t="s">
        <v>11</v>
      </c>
    </row>
    <row r="1665" spans="1:8" x14ac:dyDescent="0.25">
      <c r="A1665" s="4" t="s">
        <v>1010</v>
      </c>
      <c r="B1665" s="4" t="s">
        <v>12</v>
      </c>
      <c r="C1665" s="5">
        <v>25</v>
      </c>
      <c r="D1665" s="5">
        <v>4.21</v>
      </c>
      <c r="F1665" s="4" t="s">
        <v>9</v>
      </c>
      <c r="G1665" s="4" t="s">
        <v>1011</v>
      </c>
      <c r="H1665" s="6" t="s">
        <v>11</v>
      </c>
    </row>
    <row r="1666" spans="1:8" x14ac:dyDescent="0.25">
      <c r="A1666" s="4" t="str">
        <f>"CHOPE BLACK MARIA- 400ML "</f>
        <v xml:space="preserve">CHOPE BLACK MARIA- 400ML </v>
      </c>
      <c r="B1666" s="4" t="s">
        <v>12</v>
      </c>
      <c r="C1666" s="5">
        <v>25</v>
      </c>
      <c r="D1666" s="5">
        <v>5.61</v>
      </c>
      <c r="F1666" s="4" t="s">
        <v>9</v>
      </c>
      <c r="G1666" s="4" t="s">
        <v>1012</v>
      </c>
      <c r="H1666" s="6" t="s">
        <v>11</v>
      </c>
    </row>
    <row r="1667" spans="1:8" x14ac:dyDescent="0.25">
      <c r="A1667" s="4" t="s">
        <v>1014</v>
      </c>
      <c r="B1667" s="4" t="s">
        <v>12</v>
      </c>
      <c r="C1667" s="5">
        <v>30</v>
      </c>
      <c r="D1667" s="5">
        <v>8.5</v>
      </c>
      <c r="F1667" s="4" t="s">
        <v>9</v>
      </c>
      <c r="G1667" s="4" t="s">
        <v>1015</v>
      </c>
      <c r="H1667" s="6" t="s">
        <v>11</v>
      </c>
    </row>
    <row r="1668" spans="1:8" x14ac:dyDescent="0.25">
      <c r="A1668" s="4" t="str">
        <f>"CHOPE BONNA - EASY RIDER - NEIPA - 300ML "</f>
        <v xml:space="preserve">CHOPE BONNA - EASY RIDER - NEIPA - 300ML </v>
      </c>
      <c r="B1668" s="4" t="s">
        <v>12</v>
      </c>
      <c r="C1668" s="5">
        <v>20</v>
      </c>
      <c r="D1668" s="5">
        <v>5.85</v>
      </c>
      <c r="F1668" s="4" t="s">
        <v>9</v>
      </c>
      <c r="G1668" s="4" t="s">
        <v>1018</v>
      </c>
      <c r="H1668" s="6" t="s">
        <v>11</v>
      </c>
    </row>
    <row r="1669" spans="1:8" x14ac:dyDescent="0.25">
      <c r="A1669" s="4" t="s">
        <v>1019</v>
      </c>
      <c r="B1669" s="4" t="s">
        <v>12</v>
      </c>
      <c r="C1669" s="5">
        <v>25</v>
      </c>
      <c r="D1669" s="5">
        <v>7.8</v>
      </c>
      <c r="F1669" s="4" t="s">
        <v>9</v>
      </c>
      <c r="G1669" s="4" t="s">
        <v>1020</v>
      </c>
      <c r="H1669" s="6" t="s">
        <v>11</v>
      </c>
    </row>
    <row r="1670" spans="1:8" x14ac:dyDescent="0.25">
      <c r="A1670" s="4" t="s">
        <v>1022</v>
      </c>
      <c r="B1670" s="4" t="s">
        <v>12</v>
      </c>
      <c r="C1670" s="5">
        <v>20</v>
      </c>
      <c r="D1670" s="5">
        <v>6.27</v>
      </c>
      <c r="F1670" s="4" t="s">
        <v>9</v>
      </c>
      <c r="G1670" s="4" t="s">
        <v>1023</v>
      </c>
      <c r="H1670" s="6" t="s">
        <v>11</v>
      </c>
    </row>
    <row r="1671" spans="1:8" x14ac:dyDescent="0.25">
      <c r="A1671" s="4" t="str">
        <f>"CHOPE BONNA BEER  - BONNA 6 NAOS  - 400ML "</f>
        <v xml:space="preserve">CHOPE BONNA BEER  - BONNA 6 NAOS  - 400ML </v>
      </c>
      <c r="B1671" s="4" t="s">
        <v>12</v>
      </c>
      <c r="C1671" s="5">
        <v>25</v>
      </c>
      <c r="D1671" s="5">
        <v>8.36</v>
      </c>
      <c r="F1671" s="4" t="s">
        <v>9</v>
      </c>
      <c r="G1671" s="4" t="s">
        <v>1024</v>
      </c>
      <c r="H1671" s="6" t="s">
        <v>11</v>
      </c>
    </row>
    <row r="1672" spans="1:8" x14ac:dyDescent="0.25">
      <c r="A1672" s="4" t="s">
        <v>1027</v>
      </c>
      <c r="B1672" s="4" t="s">
        <v>12</v>
      </c>
      <c r="C1672" s="5">
        <v>20</v>
      </c>
      <c r="D1672" s="5">
        <v>6.27</v>
      </c>
      <c r="F1672" s="4" t="s">
        <v>9</v>
      </c>
      <c r="G1672" s="4" t="s">
        <v>1028</v>
      </c>
      <c r="H1672" s="6" t="s">
        <v>11</v>
      </c>
    </row>
    <row r="1673" spans="1:8" x14ac:dyDescent="0.25">
      <c r="A1673" s="4" t="s">
        <v>1029</v>
      </c>
      <c r="B1673" s="4" t="s">
        <v>12</v>
      </c>
      <c r="C1673" s="5">
        <v>25</v>
      </c>
      <c r="D1673" s="5">
        <v>8.36</v>
      </c>
      <c r="F1673" s="4" t="s">
        <v>9</v>
      </c>
      <c r="G1673" s="4" t="s">
        <v>1030</v>
      </c>
      <c r="H1673" s="6" t="s">
        <v>11</v>
      </c>
    </row>
    <row r="1674" spans="1:8" x14ac:dyDescent="0.25">
      <c r="A1674" s="4" t="s">
        <v>1031</v>
      </c>
      <c r="B1674" s="4" t="s">
        <v>12</v>
      </c>
      <c r="C1674" s="5">
        <v>20</v>
      </c>
      <c r="D1674" s="5">
        <v>5.55</v>
      </c>
      <c r="F1674" s="4" t="s">
        <v>9</v>
      </c>
      <c r="G1674" s="4" t="s">
        <v>1032</v>
      </c>
      <c r="H1674" s="6" t="s">
        <v>11</v>
      </c>
    </row>
    <row r="1675" spans="1:8" x14ac:dyDescent="0.25">
      <c r="A1675" s="4" t="s">
        <v>1033</v>
      </c>
      <c r="B1675" s="4" t="s">
        <v>12</v>
      </c>
      <c r="C1675" s="5">
        <v>25</v>
      </c>
      <c r="D1675" s="5">
        <v>7.4</v>
      </c>
      <c r="F1675" s="4" t="s">
        <v>9</v>
      </c>
      <c r="G1675" s="4" t="s">
        <v>1034</v>
      </c>
      <c r="H1675" s="6" t="s">
        <v>11</v>
      </c>
    </row>
    <row r="1676" spans="1:8" x14ac:dyDescent="0.25">
      <c r="A1676" s="4" t="s">
        <v>1035</v>
      </c>
      <c r="B1676" s="4" t="s">
        <v>12</v>
      </c>
      <c r="C1676" s="5">
        <v>20</v>
      </c>
      <c r="D1676" s="5">
        <v>5.7</v>
      </c>
      <c r="F1676" s="4" t="s">
        <v>9</v>
      </c>
      <c r="G1676" s="4" t="s">
        <v>1036</v>
      </c>
      <c r="H1676" s="6" t="s">
        <v>11</v>
      </c>
    </row>
    <row r="1677" spans="1:8" x14ac:dyDescent="0.25">
      <c r="A1677" s="4" t="str">
        <f>"CHOPE BONNA BEER SURFIN BIRD AMERICAN IPA - 400ML "</f>
        <v xml:space="preserve">CHOPE BONNA BEER SURFIN BIRD AMERICAN IPA - 400ML </v>
      </c>
      <c r="B1677" s="4" t="s">
        <v>12</v>
      </c>
      <c r="C1677" s="5">
        <v>25</v>
      </c>
      <c r="D1677" s="5">
        <v>7.6</v>
      </c>
      <c r="F1677" s="4" t="s">
        <v>9</v>
      </c>
      <c r="G1677" s="4" t="s">
        <v>1037</v>
      </c>
      <c r="H1677" s="6" t="s">
        <v>11</v>
      </c>
    </row>
    <row r="1678" spans="1:8" x14ac:dyDescent="0.25">
      <c r="A1678" s="4" t="str">
        <f>"CHOPE BONNA GOES DUTCH-300ML "</f>
        <v xml:space="preserve">CHOPE BONNA GOES DUTCH-300ML </v>
      </c>
      <c r="B1678" s="4" t="s">
        <v>12</v>
      </c>
      <c r="C1678" s="5">
        <v>20</v>
      </c>
      <c r="D1678" s="5">
        <v>6.6</v>
      </c>
      <c r="F1678" s="4" t="s">
        <v>9</v>
      </c>
      <c r="G1678" s="4" t="s">
        <v>1043</v>
      </c>
      <c r="H1678" s="6" t="s">
        <v>11</v>
      </c>
    </row>
    <row r="1679" spans="1:8" x14ac:dyDescent="0.25">
      <c r="A1679" s="4" t="str">
        <f>"CHOPE BONNA GOES DUTCH-400ML "</f>
        <v xml:space="preserve">CHOPE BONNA GOES DUTCH-400ML </v>
      </c>
      <c r="B1679" s="4" t="s">
        <v>12</v>
      </c>
      <c r="C1679" s="5">
        <v>25</v>
      </c>
      <c r="D1679" s="5">
        <v>8.8000000000000007</v>
      </c>
      <c r="F1679" s="4" t="s">
        <v>9</v>
      </c>
      <c r="G1679" s="4" t="s">
        <v>1044</v>
      </c>
      <c r="H1679" s="6" t="s">
        <v>11</v>
      </c>
    </row>
    <row r="1680" spans="1:8" x14ac:dyDescent="0.25">
      <c r="A1680" s="4" t="str">
        <f>"CHOPE BONNA TROPICAL FOREST 2 - 300ML "</f>
        <v xml:space="preserve">CHOPE BONNA TROPICAL FOREST 2 - 300ML </v>
      </c>
      <c r="B1680" s="4" t="s">
        <v>12</v>
      </c>
      <c r="C1680" s="5">
        <v>20</v>
      </c>
      <c r="D1680" s="5">
        <v>7.6</v>
      </c>
      <c r="F1680" s="4" t="s">
        <v>9</v>
      </c>
      <c r="G1680" s="4" t="s">
        <v>1047</v>
      </c>
      <c r="H1680" s="6" t="s">
        <v>11</v>
      </c>
    </row>
    <row r="1681" spans="1:8" x14ac:dyDescent="0.25">
      <c r="A1681" s="4" t="str">
        <f>"CHOPE BONNA TROPICAL FOREST 2 - 400ML "</f>
        <v xml:space="preserve">CHOPE BONNA TROPICAL FOREST 2 - 400ML </v>
      </c>
      <c r="B1681" s="4" t="s">
        <v>12</v>
      </c>
      <c r="C1681" s="5">
        <v>25</v>
      </c>
      <c r="D1681" s="5">
        <v>7.6</v>
      </c>
      <c r="F1681" s="4" t="s">
        <v>9</v>
      </c>
      <c r="G1681" s="4" t="s">
        <v>1048</v>
      </c>
      <c r="H1681" s="6" t="s">
        <v>11</v>
      </c>
    </row>
    <row r="1682" spans="1:8" x14ac:dyDescent="0.25">
      <c r="A1682" s="4" t="s">
        <v>1052</v>
      </c>
      <c r="B1682" s="4" t="s">
        <v>12</v>
      </c>
      <c r="C1682" s="5">
        <v>20</v>
      </c>
      <c r="D1682" s="5">
        <v>5.98</v>
      </c>
      <c r="F1682" s="4" t="s">
        <v>9</v>
      </c>
      <c r="G1682" s="4" t="s">
        <v>1053</v>
      </c>
      <c r="H1682" s="6" t="s">
        <v>11</v>
      </c>
    </row>
    <row r="1683" spans="1:8" x14ac:dyDescent="0.25">
      <c r="A1683" s="4" t="s">
        <v>1054</v>
      </c>
      <c r="B1683" s="4" t="s">
        <v>12</v>
      </c>
      <c r="C1683" s="5">
        <v>25</v>
      </c>
      <c r="D1683" s="5">
        <v>7.97</v>
      </c>
      <c r="F1683" s="4" t="s">
        <v>9</v>
      </c>
      <c r="G1683" s="4" t="s">
        <v>1055</v>
      </c>
      <c r="H1683" s="6" t="s">
        <v>11</v>
      </c>
    </row>
    <row r="1684" spans="1:8" x14ac:dyDescent="0.25">
      <c r="A1684" s="4" t="s">
        <v>1058</v>
      </c>
      <c r="B1684" s="4" t="s">
        <v>12</v>
      </c>
      <c r="C1684" s="5">
        <v>20</v>
      </c>
      <c r="F1684" s="4" t="s">
        <v>9</v>
      </c>
      <c r="G1684" s="4" t="s">
        <v>1059</v>
      </c>
      <c r="H1684" s="6" t="s">
        <v>11</v>
      </c>
    </row>
    <row r="1685" spans="1:8" x14ac:dyDescent="0.25">
      <c r="A1685" s="4" t="s">
        <v>1060</v>
      </c>
      <c r="B1685" s="4" t="s">
        <v>12</v>
      </c>
      <c r="C1685" s="5">
        <v>25</v>
      </c>
      <c r="F1685" s="4" t="s">
        <v>9</v>
      </c>
      <c r="G1685" s="4" t="s">
        <v>1061</v>
      </c>
      <c r="H1685" s="6" t="s">
        <v>11</v>
      </c>
    </row>
    <row r="1686" spans="1:8" x14ac:dyDescent="0.25">
      <c r="A1686" s="4" t="s">
        <v>1063</v>
      </c>
      <c r="B1686" s="4" t="s">
        <v>12</v>
      </c>
      <c r="C1686" s="5">
        <v>20</v>
      </c>
      <c r="D1686" s="5">
        <v>0.56000000000000005</v>
      </c>
      <c r="F1686" s="4" t="s">
        <v>9</v>
      </c>
      <c r="G1686" s="4" t="s">
        <v>1064</v>
      </c>
      <c r="H1686" s="6" t="s">
        <v>11</v>
      </c>
    </row>
    <row r="1687" spans="1:8" x14ac:dyDescent="0.25">
      <c r="A1687" s="4" t="str">
        <f>"CHOPE CAFE DA MANHA EM BEAGA - 400ML "</f>
        <v xml:space="preserve">CHOPE CAFE DA MANHA EM BEAGA - 400ML </v>
      </c>
      <c r="B1687" s="4" t="s">
        <v>12</v>
      </c>
      <c r="C1687" s="5">
        <v>25</v>
      </c>
      <c r="D1687" s="5">
        <v>0.74</v>
      </c>
      <c r="F1687" s="4" t="s">
        <v>9</v>
      </c>
      <c r="G1687" s="4" t="s">
        <v>1065</v>
      </c>
      <c r="H1687" s="6" t="s">
        <v>11</v>
      </c>
    </row>
    <row r="1688" spans="1:8" x14ac:dyDescent="0.25">
      <c r="A1688" s="4" t="s">
        <v>1066</v>
      </c>
      <c r="B1688" s="4" t="s">
        <v>12</v>
      </c>
      <c r="C1688" s="5">
        <v>20</v>
      </c>
      <c r="D1688" s="5">
        <v>7.76</v>
      </c>
      <c r="F1688" s="4" t="s">
        <v>9</v>
      </c>
      <c r="G1688" s="4" t="s">
        <v>1067</v>
      </c>
      <c r="H1688" s="6" t="s">
        <v>11</v>
      </c>
    </row>
    <row r="1689" spans="1:8" x14ac:dyDescent="0.25">
      <c r="A1689" s="4" t="str">
        <f>"CHOPE CAJU ATOMICO - 400ML "</f>
        <v xml:space="preserve">CHOPE CAJU ATOMICO - 400ML </v>
      </c>
      <c r="B1689" s="4" t="s">
        <v>12</v>
      </c>
      <c r="C1689" s="5">
        <v>25</v>
      </c>
      <c r="D1689" s="5">
        <v>7.76</v>
      </c>
      <c r="F1689" s="4" t="s">
        <v>9</v>
      </c>
      <c r="G1689" s="4" t="s">
        <v>1068</v>
      </c>
      <c r="H1689" s="6" t="s">
        <v>11</v>
      </c>
    </row>
    <row r="1690" spans="1:8" x14ac:dyDescent="0.25">
      <c r="A1690" s="4" t="s">
        <v>1073</v>
      </c>
      <c r="B1690" s="4" t="s">
        <v>12</v>
      </c>
      <c r="C1690" s="5">
        <v>20</v>
      </c>
      <c r="D1690" s="5">
        <v>5.4</v>
      </c>
      <c r="F1690" s="4" t="s">
        <v>9</v>
      </c>
      <c r="G1690" s="4" t="s">
        <v>1074</v>
      </c>
      <c r="H1690" s="6" t="s">
        <v>11</v>
      </c>
    </row>
    <row r="1691" spans="1:8" x14ac:dyDescent="0.25">
      <c r="A1691" s="4" t="str">
        <f>"CHOPE CALIFORNIA COMMON- 400ML "</f>
        <v xml:space="preserve">CHOPE CALIFORNIA COMMON- 400ML </v>
      </c>
      <c r="B1691" s="4" t="s">
        <v>12</v>
      </c>
      <c r="C1691" s="5">
        <v>25</v>
      </c>
      <c r="D1691" s="5">
        <v>7.2</v>
      </c>
      <c r="F1691" s="4" t="s">
        <v>9</v>
      </c>
      <c r="G1691" s="4" t="s">
        <v>1075</v>
      </c>
      <c r="H1691" s="6" t="s">
        <v>11</v>
      </c>
    </row>
    <row r="1692" spans="1:8" x14ac:dyDescent="0.25">
      <c r="A1692" s="4" t="s">
        <v>1076</v>
      </c>
      <c r="B1692" s="4" t="s">
        <v>12</v>
      </c>
      <c r="C1692" s="5">
        <v>20</v>
      </c>
      <c r="D1692" s="5">
        <v>5.97</v>
      </c>
      <c r="F1692" s="4" t="s">
        <v>9</v>
      </c>
      <c r="G1692" s="4" t="s">
        <v>1077</v>
      </c>
      <c r="H1692" s="6" t="s">
        <v>11</v>
      </c>
    </row>
    <row r="1693" spans="1:8" x14ac:dyDescent="0.25">
      <c r="A1693" s="4" t="str">
        <f>"CHOPE CAMU CAMU - 400ML "</f>
        <v xml:space="preserve">CHOPE CAMU CAMU - 400ML </v>
      </c>
      <c r="B1693" s="4" t="s">
        <v>12</v>
      </c>
      <c r="C1693" s="5">
        <v>25</v>
      </c>
      <c r="D1693" s="5">
        <v>7.96</v>
      </c>
      <c r="F1693" s="4" t="s">
        <v>9</v>
      </c>
      <c r="G1693" s="4" t="s">
        <v>1078</v>
      </c>
      <c r="H1693" s="6" t="s">
        <v>11</v>
      </c>
    </row>
    <row r="1694" spans="1:8" x14ac:dyDescent="0.25">
      <c r="A1694" s="4" t="s">
        <v>1080</v>
      </c>
      <c r="B1694" s="4" t="s">
        <v>12</v>
      </c>
      <c r="C1694" s="5">
        <v>20</v>
      </c>
      <c r="D1694" s="5">
        <v>5.0599999999999996</v>
      </c>
      <c r="F1694" s="4" t="s">
        <v>9</v>
      </c>
      <c r="G1694" s="4" t="s">
        <v>1081</v>
      </c>
      <c r="H1694" s="6" t="s">
        <v>11</v>
      </c>
    </row>
    <row r="1695" spans="1:8" x14ac:dyDescent="0.25">
      <c r="A1695" s="4" t="str">
        <f>"CHOPE CANABICAO 2.0 - 400ML "</f>
        <v xml:space="preserve">CHOPE CANABICAO 2.0 - 400ML </v>
      </c>
      <c r="B1695" s="4" t="s">
        <v>12</v>
      </c>
      <c r="C1695" s="5">
        <v>25</v>
      </c>
      <c r="D1695" s="5">
        <v>6.74</v>
      </c>
      <c r="F1695" s="4" t="s">
        <v>9</v>
      </c>
      <c r="G1695" s="4" t="s">
        <v>1082</v>
      </c>
      <c r="H1695" s="6" t="s">
        <v>11</v>
      </c>
    </row>
    <row r="1696" spans="1:8" x14ac:dyDescent="0.25">
      <c r="A1696" s="4" t="s">
        <v>1085</v>
      </c>
      <c r="B1696" s="4" t="s">
        <v>12</v>
      </c>
      <c r="C1696" s="5">
        <v>20</v>
      </c>
      <c r="D1696" s="5">
        <v>7.12</v>
      </c>
      <c r="F1696" s="4" t="s">
        <v>9</v>
      </c>
      <c r="G1696" s="4" t="s">
        <v>1086</v>
      </c>
      <c r="H1696" s="6" t="s">
        <v>11</v>
      </c>
    </row>
    <row r="1697" spans="1:8" x14ac:dyDescent="0.25">
      <c r="A1697" s="4" t="str">
        <f>"CHOPE CANABICAO- 400ML "</f>
        <v xml:space="preserve">CHOPE CANABICAO- 400ML </v>
      </c>
      <c r="B1697" s="4" t="s">
        <v>12</v>
      </c>
      <c r="C1697" s="5">
        <v>25</v>
      </c>
      <c r="D1697" s="5">
        <v>7.12</v>
      </c>
      <c r="F1697" s="4" t="s">
        <v>9</v>
      </c>
      <c r="G1697" s="4" t="s">
        <v>1087</v>
      </c>
      <c r="H1697" s="6" t="s">
        <v>11</v>
      </c>
    </row>
    <row r="1698" spans="1:8" x14ac:dyDescent="0.25">
      <c r="A1698" s="4" t="s">
        <v>1088</v>
      </c>
      <c r="B1698" s="4" t="s">
        <v>12</v>
      </c>
      <c r="C1698" s="5">
        <v>20</v>
      </c>
      <c r="D1698" s="5">
        <v>5.82</v>
      </c>
      <c r="F1698" s="4" t="s">
        <v>9</v>
      </c>
      <c r="G1698" s="4" t="s">
        <v>1089</v>
      </c>
      <c r="H1698" s="6" t="s">
        <v>11</v>
      </c>
    </row>
    <row r="1699" spans="1:8" x14ac:dyDescent="0.25">
      <c r="A1699" s="4" t="s">
        <v>1090</v>
      </c>
      <c r="B1699" s="4" t="s">
        <v>12</v>
      </c>
      <c r="C1699" s="5">
        <v>25</v>
      </c>
      <c r="D1699" s="5">
        <v>7.76</v>
      </c>
      <c r="F1699" s="4" t="s">
        <v>9</v>
      </c>
      <c r="G1699" s="4" t="s">
        <v>1091</v>
      </c>
      <c r="H1699" s="6" t="s">
        <v>11</v>
      </c>
    </row>
    <row r="1700" spans="1:8" x14ac:dyDescent="0.25">
      <c r="A1700" s="4" t="s">
        <v>1093</v>
      </c>
      <c r="B1700" s="4" t="s">
        <v>12</v>
      </c>
      <c r="C1700" s="5">
        <v>20</v>
      </c>
      <c r="D1700" s="5">
        <v>5.58</v>
      </c>
      <c r="F1700" s="4" t="s">
        <v>9</v>
      </c>
      <c r="G1700" s="4" t="s">
        <v>1094</v>
      </c>
      <c r="H1700" s="6" t="s">
        <v>11</v>
      </c>
    </row>
    <row r="1701" spans="1:8" x14ac:dyDescent="0.25">
      <c r="A1701" s="4" t="str">
        <f>"CHOPE CHAKRA-400ML "</f>
        <v xml:space="preserve">CHOPE CHAKRA-400ML </v>
      </c>
      <c r="B1701" s="4" t="s">
        <v>12</v>
      </c>
      <c r="C1701" s="5">
        <v>25</v>
      </c>
      <c r="D1701" s="5">
        <v>7.44</v>
      </c>
      <c r="F1701" s="4" t="s">
        <v>9</v>
      </c>
      <c r="G1701" s="4" t="s">
        <v>1095</v>
      </c>
      <c r="H1701" s="6" t="s">
        <v>11</v>
      </c>
    </row>
    <row r="1702" spans="1:8" x14ac:dyDescent="0.25">
      <c r="A1702" s="4" t="str">
        <f>"CHOPE CHOPE TURBINA ENGLISH IPA 300ML "</f>
        <v xml:space="preserve">CHOPE CHOPE TURBINA ENGLISH IPA 300ML </v>
      </c>
      <c r="B1702" s="4" t="s">
        <v>12</v>
      </c>
      <c r="C1702" s="5">
        <v>20</v>
      </c>
      <c r="D1702" s="5">
        <v>7.5</v>
      </c>
      <c r="F1702" s="4" t="s">
        <v>9</v>
      </c>
      <c r="G1702" s="4" t="s">
        <v>1096</v>
      </c>
      <c r="H1702" s="6" t="s">
        <v>11</v>
      </c>
    </row>
    <row r="1703" spans="1:8" x14ac:dyDescent="0.25">
      <c r="A1703" s="4" t="str">
        <f>"CHOPE CHOPE TURBINA ENGLISH IPA 400ML "</f>
        <v xml:space="preserve">CHOPE CHOPE TURBINA ENGLISH IPA 400ML </v>
      </c>
      <c r="B1703" s="4" t="s">
        <v>12</v>
      </c>
      <c r="C1703" s="5">
        <v>25</v>
      </c>
      <c r="D1703" s="5">
        <v>10</v>
      </c>
      <c r="F1703" s="4" t="s">
        <v>9</v>
      </c>
      <c r="G1703" s="4" t="s">
        <v>1097</v>
      </c>
      <c r="H1703" s="6" t="s">
        <v>11</v>
      </c>
    </row>
    <row r="1704" spans="1:8" x14ac:dyDescent="0.25">
      <c r="A1704" s="4" t="s">
        <v>1100</v>
      </c>
      <c r="B1704" s="4" t="s">
        <v>12</v>
      </c>
      <c r="C1704" s="5">
        <v>25</v>
      </c>
      <c r="D1704" s="5">
        <v>9.6</v>
      </c>
      <c r="F1704" s="4" t="s">
        <v>9</v>
      </c>
      <c r="G1704" s="4" t="s">
        <v>1101</v>
      </c>
      <c r="H1704" s="6" t="s">
        <v>11</v>
      </c>
    </row>
    <row r="1705" spans="1:8" x14ac:dyDescent="0.25">
      <c r="A1705" s="4" t="s">
        <v>1102</v>
      </c>
      <c r="B1705" s="4" t="s">
        <v>12</v>
      </c>
      <c r="C1705" s="5">
        <v>20</v>
      </c>
      <c r="D1705" s="5">
        <v>7.2</v>
      </c>
      <c r="F1705" s="4" t="s">
        <v>9</v>
      </c>
      <c r="G1705" s="4" t="s">
        <v>1103</v>
      </c>
      <c r="H1705" s="6" t="s">
        <v>11</v>
      </c>
    </row>
    <row r="1706" spans="1:8" x14ac:dyDescent="0.25">
      <c r="A1706" s="4" t="s">
        <v>1104</v>
      </c>
      <c r="B1706" s="4" t="s">
        <v>12</v>
      </c>
      <c r="C1706" s="5">
        <v>20</v>
      </c>
      <c r="D1706" s="5">
        <v>224.1</v>
      </c>
      <c r="F1706" s="4" t="s">
        <v>9</v>
      </c>
      <c r="G1706" s="4" t="s">
        <v>1105</v>
      </c>
      <c r="H1706" s="6" t="s">
        <v>11</v>
      </c>
    </row>
    <row r="1707" spans="1:8" x14ac:dyDescent="0.25">
      <c r="A1707" s="4" t="s">
        <v>1106</v>
      </c>
      <c r="B1707" s="4" t="s">
        <v>12</v>
      </c>
      <c r="C1707" s="5">
        <v>25</v>
      </c>
      <c r="D1707" s="5">
        <v>298.8</v>
      </c>
      <c r="F1707" s="4" t="s">
        <v>9</v>
      </c>
      <c r="G1707" s="4" t="s">
        <v>1107</v>
      </c>
      <c r="H1707" s="6" t="s">
        <v>11</v>
      </c>
    </row>
    <row r="1708" spans="1:8" x14ac:dyDescent="0.25">
      <c r="A1708" s="4" t="s">
        <v>1110</v>
      </c>
      <c r="B1708" s="4" t="s">
        <v>12</v>
      </c>
      <c r="C1708" s="5">
        <v>20</v>
      </c>
      <c r="D1708" s="5">
        <v>310.8</v>
      </c>
      <c r="F1708" s="4" t="s">
        <v>9</v>
      </c>
      <c r="G1708" s="4" t="s">
        <v>1111</v>
      </c>
      <c r="H1708" s="6" t="s">
        <v>11</v>
      </c>
    </row>
    <row r="1709" spans="1:8" x14ac:dyDescent="0.25">
      <c r="A1709" s="4" t="s">
        <v>1112</v>
      </c>
      <c r="B1709" s="4" t="s">
        <v>12</v>
      </c>
      <c r="C1709" s="5">
        <v>25</v>
      </c>
      <c r="D1709" s="5">
        <v>310.8</v>
      </c>
      <c r="F1709" s="4" t="s">
        <v>9</v>
      </c>
      <c r="G1709" s="4" t="s">
        <v>1113</v>
      </c>
      <c r="H1709" s="6" t="s">
        <v>11</v>
      </c>
    </row>
    <row r="1710" spans="1:8" x14ac:dyDescent="0.25">
      <c r="A1710" s="4" t="str">
        <f>"CHOPE CRIATURA DO PANTANO - 400ML "</f>
        <v xml:space="preserve">CHOPE CRIATURA DO PANTANO - 400ML </v>
      </c>
      <c r="B1710" s="4" t="s">
        <v>12</v>
      </c>
      <c r="C1710" s="5">
        <v>25</v>
      </c>
      <c r="D1710" s="5">
        <v>6.06</v>
      </c>
      <c r="F1710" s="4" t="s">
        <v>9</v>
      </c>
      <c r="G1710" s="4" t="s">
        <v>1115</v>
      </c>
      <c r="H1710" s="6" t="s">
        <v>11</v>
      </c>
    </row>
    <row r="1711" spans="1:8" x14ac:dyDescent="0.25">
      <c r="A1711" s="4" t="s">
        <v>1116</v>
      </c>
      <c r="B1711" s="4" t="s">
        <v>12</v>
      </c>
      <c r="C1711" s="5">
        <v>20</v>
      </c>
      <c r="F1711" s="4" t="s">
        <v>9</v>
      </c>
      <c r="G1711" s="4" t="s">
        <v>1117</v>
      </c>
      <c r="H1711" s="6" t="s">
        <v>11</v>
      </c>
    </row>
    <row r="1712" spans="1:8" x14ac:dyDescent="0.25">
      <c r="A1712" s="4" t="s">
        <v>1118</v>
      </c>
      <c r="B1712" s="4" t="s">
        <v>12</v>
      </c>
      <c r="C1712" s="5">
        <v>25</v>
      </c>
      <c r="F1712" s="4" t="s">
        <v>9</v>
      </c>
      <c r="G1712" s="4" t="s">
        <v>1119</v>
      </c>
      <c r="H1712" s="6" t="s">
        <v>11</v>
      </c>
    </row>
    <row r="1713" spans="1:8" x14ac:dyDescent="0.25">
      <c r="A1713" s="4" t="str">
        <f>"CHOPE DARK SIDE  - 300ML "</f>
        <v xml:space="preserve">CHOPE DARK SIDE  - 300ML </v>
      </c>
      <c r="B1713" s="4" t="s">
        <v>12</v>
      </c>
      <c r="C1713" s="5">
        <v>25</v>
      </c>
      <c r="D1713" s="5">
        <v>5.55</v>
      </c>
      <c r="F1713" s="4" t="s">
        <v>9</v>
      </c>
      <c r="G1713" s="4" t="s">
        <v>1120</v>
      </c>
      <c r="H1713" s="6" t="s">
        <v>11</v>
      </c>
    </row>
    <row r="1714" spans="1:8" x14ac:dyDescent="0.25">
      <c r="A1714" s="4" t="str">
        <f>"CHOPE DARK SIDE  - 400ML "</f>
        <v xml:space="preserve">CHOPE DARK SIDE  - 400ML </v>
      </c>
      <c r="B1714" s="4" t="s">
        <v>12</v>
      </c>
      <c r="C1714" s="5">
        <v>30</v>
      </c>
      <c r="D1714" s="5">
        <v>5.55</v>
      </c>
      <c r="F1714" s="4" t="s">
        <v>9</v>
      </c>
      <c r="G1714" s="4" t="s">
        <v>1121</v>
      </c>
      <c r="H1714" s="6" t="s">
        <v>11</v>
      </c>
    </row>
    <row r="1715" spans="1:8" x14ac:dyDescent="0.25">
      <c r="A1715" s="4" t="str">
        <f>"CHOPE DARK SIDE MOONDRI - ESTOQUE "</f>
        <v xml:space="preserve">CHOPE DARK SIDE MOONDRI - ESTOQUE </v>
      </c>
      <c r="B1715" s="4" t="s">
        <v>12</v>
      </c>
      <c r="D1715" s="5">
        <v>18.5</v>
      </c>
      <c r="F1715" s="4" t="s">
        <v>9</v>
      </c>
      <c r="G1715" s="4" t="s">
        <v>1122</v>
      </c>
      <c r="H1715" s="6" t="s">
        <v>11</v>
      </c>
    </row>
    <row r="1716" spans="1:8" x14ac:dyDescent="0.25">
      <c r="A1716" s="4" t="str">
        <f>"CHOPE DE BOLACHA - 300ML "</f>
        <v xml:space="preserve">CHOPE DE BOLACHA - 300ML </v>
      </c>
      <c r="B1716" s="4" t="s">
        <v>12</v>
      </c>
      <c r="C1716" s="5">
        <v>20</v>
      </c>
      <c r="D1716" s="5">
        <v>7.35</v>
      </c>
      <c r="F1716" s="4" t="s">
        <v>9</v>
      </c>
      <c r="G1716" s="4" t="s">
        <v>1126</v>
      </c>
      <c r="H1716" s="6" t="s">
        <v>11</v>
      </c>
    </row>
    <row r="1717" spans="1:8" x14ac:dyDescent="0.25">
      <c r="A1717" s="4" t="str">
        <f>"CHOPE DE BOLACHA - 400ML "</f>
        <v xml:space="preserve">CHOPE DE BOLACHA - 400ML </v>
      </c>
      <c r="B1717" s="4" t="s">
        <v>12</v>
      </c>
      <c r="C1717" s="5">
        <v>25</v>
      </c>
      <c r="D1717" s="5">
        <v>9.8000000000000007</v>
      </c>
      <c r="F1717" s="4" t="s">
        <v>9</v>
      </c>
      <c r="G1717" s="4" t="s">
        <v>1127</v>
      </c>
      <c r="H1717" s="6" t="s">
        <v>11</v>
      </c>
    </row>
    <row r="1718" spans="1:8" x14ac:dyDescent="0.25">
      <c r="A1718" s="4" t="s">
        <v>1131</v>
      </c>
      <c r="B1718" s="4" t="s">
        <v>12</v>
      </c>
      <c r="C1718" s="5">
        <v>30</v>
      </c>
      <c r="D1718" s="5">
        <v>146.25</v>
      </c>
      <c r="F1718" s="4" t="s">
        <v>9</v>
      </c>
      <c r="G1718" s="4" t="s">
        <v>1132</v>
      </c>
      <c r="H1718" s="6" t="s">
        <v>11</v>
      </c>
    </row>
    <row r="1719" spans="1:8" x14ac:dyDescent="0.25">
      <c r="A1719" s="4" t="s">
        <v>1134</v>
      </c>
      <c r="B1719" s="4" t="s">
        <v>12</v>
      </c>
      <c r="C1719" s="5">
        <v>20</v>
      </c>
      <c r="D1719" s="5">
        <v>4.5199999999999996</v>
      </c>
      <c r="F1719" s="4" t="s">
        <v>9</v>
      </c>
      <c r="G1719" s="4" t="s">
        <v>1135</v>
      </c>
      <c r="H1719" s="6" t="s">
        <v>11</v>
      </c>
    </row>
    <row r="1720" spans="1:8" x14ac:dyDescent="0.25">
      <c r="A1720" s="4" t="s">
        <v>1140</v>
      </c>
      <c r="B1720" s="4" t="s">
        <v>12</v>
      </c>
      <c r="C1720" s="5">
        <v>20</v>
      </c>
      <c r="D1720" s="5">
        <v>4.17</v>
      </c>
      <c r="F1720" s="4" t="s">
        <v>9</v>
      </c>
      <c r="G1720" s="4" t="s">
        <v>1141</v>
      </c>
      <c r="H1720" s="6" t="s">
        <v>11</v>
      </c>
    </row>
    <row r="1721" spans="1:8" x14ac:dyDescent="0.25">
      <c r="A1721" s="4" t="s">
        <v>1142</v>
      </c>
      <c r="B1721" s="4" t="s">
        <v>12</v>
      </c>
      <c r="C1721" s="5">
        <v>25</v>
      </c>
      <c r="D1721" s="5">
        <v>5.56</v>
      </c>
      <c r="F1721" s="4" t="s">
        <v>9</v>
      </c>
      <c r="G1721" s="4" t="s">
        <v>1143</v>
      </c>
      <c r="H1721" s="6" t="s">
        <v>11</v>
      </c>
    </row>
    <row r="1722" spans="1:8" x14ac:dyDescent="0.25">
      <c r="A1722" s="4" t="s">
        <v>1144</v>
      </c>
      <c r="B1722" s="4" t="s">
        <v>12</v>
      </c>
      <c r="C1722" s="5">
        <v>20</v>
      </c>
      <c r="D1722" s="5">
        <v>5.97</v>
      </c>
      <c r="F1722" s="4" t="s">
        <v>9</v>
      </c>
      <c r="G1722" s="4" t="s">
        <v>1145</v>
      </c>
      <c r="H1722" s="6" t="s">
        <v>11</v>
      </c>
    </row>
    <row r="1723" spans="1:8" x14ac:dyDescent="0.25">
      <c r="A1723" s="4" t="str">
        <f>"CHOPE DOUBLE TEIMOSA- 400ML "</f>
        <v xml:space="preserve">CHOPE DOUBLE TEIMOSA- 400ML </v>
      </c>
      <c r="B1723" s="4" t="s">
        <v>12</v>
      </c>
      <c r="C1723" s="5">
        <v>25</v>
      </c>
      <c r="D1723" s="5">
        <v>7.96</v>
      </c>
      <c r="F1723" s="4" t="s">
        <v>9</v>
      </c>
      <c r="G1723" s="4" t="s">
        <v>1146</v>
      </c>
      <c r="H1723" s="6" t="s">
        <v>11</v>
      </c>
    </row>
    <row r="1724" spans="1:8" x14ac:dyDescent="0.25">
      <c r="A1724" s="4" t="str">
        <f>"CHOPE DUBLIN DROPS -300ML "</f>
        <v xml:space="preserve">CHOPE DUBLIN DROPS -300ML </v>
      </c>
      <c r="B1724" s="4" t="s">
        <v>12</v>
      </c>
      <c r="C1724" s="5">
        <v>20</v>
      </c>
      <c r="D1724" s="5">
        <v>4.55</v>
      </c>
      <c r="F1724" s="4" t="s">
        <v>9</v>
      </c>
      <c r="G1724" s="4" t="s">
        <v>1152</v>
      </c>
      <c r="H1724" s="6" t="s">
        <v>11</v>
      </c>
    </row>
    <row r="1725" spans="1:8" x14ac:dyDescent="0.25">
      <c r="A1725" s="4" t="str">
        <f>"CHOPE DUBLIN DROPS -400ML "</f>
        <v xml:space="preserve">CHOPE DUBLIN DROPS -400ML </v>
      </c>
      <c r="B1725" s="4" t="s">
        <v>12</v>
      </c>
      <c r="C1725" s="5">
        <v>25</v>
      </c>
      <c r="D1725" s="5">
        <v>6.06</v>
      </c>
      <c r="F1725" s="4" t="s">
        <v>9</v>
      </c>
      <c r="G1725" s="4" t="s">
        <v>1153</v>
      </c>
      <c r="H1725" s="6" t="s">
        <v>11</v>
      </c>
    </row>
    <row r="1726" spans="1:8" x14ac:dyDescent="0.25">
      <c r="A1726" s="4" t="s">
        <v>1154</v>
      </c>
      <c r="B1726" s="4" t="s">
        <v>12</v>
      </c>
      <c r="C1726" s="5">
        <v>20</v>
      </c>
      <c r="D1726" s="5">
        <v>7.22</v>
      </c>
      <c r="F1726" s="4" t="s">
        <v>9</v>
      </c>
      <c r="G1726" s="4" t="s">
        <v>1155</v>
      </c>
      <c r="H1726" s="6" t="s">
        <v>11</v>
      </c>
    </row>
    <row r="1727" spans="1:8" x14ac:dyDescent="0.25">
      <c r="A1727" s="4" t="s">
        <v>1156</v>
      </c>
      <c r="B1727" s="4" t="s">
        <v>12</v>
      </c>
      <c r="C1727" s="5">
        <v>25</v>
      </c>
      <c r="D1727" s="5">
        <v>9.6199999999999992</v>
      </c>
      <c r="F1727" s="4" t="s">
        <v>9</v>
      </c>
      <c r="G1727" s="4" t="s">
        <v>1157</v>
      </c>
      <c r="H1727" s="6" t="s">
        <v>11</v>
      </c>
    </row>
    <row r="1728" spans="1:8" x14ac:dyDescent="0.25">
      <c r="A1728" s="4" t="s">
        <v>1158</v>
      </c>
      <c r="B1728" s="4" t="s">
        <v>12</v>
      </c>
      <c r="C1728" s="5">
        <v>20</v>
      </c>
      <c r="D1728" s="5">
        <v>6.6</v>
      </c>
      <c r="F1728" s="4" t="s">
        <v>9</v>
      </c>
      <c r="G1728" s="4" t="s">
        <v>1159</v>
      </c>
      <c r="H1728" s="6" t="s">
        <v>11</v>
      </c>
    </row>
    <row r="1729" spans="1:8" x14ac:dyDescent="0.25">
      <c r="A1729" s="4" t="str">
        <f>"CHOPE ELDORADO - 400ML "</f>
        <v xml:space="preserve">CHOPE ELDORADO - 400ML </v>
      </c>
      <c r="B1729" s="4" t="s">
        <v>12</v>
      </c>
      <c r="C1729" s="5">
        <v>25</v>
      </c>
      <c r="D1729" s="5">
        <v>8.8000000000000007</v>
      </c>
      <c r="F1729" s="4" t="s">
        <v>9</v>
      </c>
      <c r="G1729" s="4" t="s">
        <v>1160</v>
      </c>
      <c r="H1729" s="6" t="s">
        <v>11</v>
      </c>
    </row>
    <row r="1730" spans="1:8" x14ac:dyDescent="0.25">
      <c r="A1730" s="4" t="s">
        <v>1162</v>
      </c>
      <c r="B1730" s="4" t="s">
        <v>12</v>
      </c>
      <c r="C1730" s="5">
        <v>20</v>
      </c>
      <c r="F1730" s="4" t="s">
        <v>9</v>
      </c>
      <c r="G1730" s="4" t="s">
        <v>1163</v>
      </c>
      <c r="H1730" s="6" t="s">
        <v>11</v>
      </c>
    </row>
    <row r="1731" spans="1:8" x14ac:dyDescent="0.25">
      <c r="A1731" s="4" t="s">
        <v>1164</v>
      </c>
      <c r="B1731" s="4" t="s">
        <v>12</v>
      </c>
      <c r="C1731" s="5">
        <v>25</v>
      </c>
      <c r="D1731" s="5">
        <v>19.100000000000001</v>
      </c>
      <c r="F1731" s="4" t="s">
        <v>9</v>
      </c>
      <c r="G1731" s="4" t="s">
        <v>1165</v>
      </c>
      <c r="H1731" s="6" t="s">
        <v>11</v>
      </c>
    </row>
    <row r="1732" spans="1:8" x14ac:dyDescent="0.25">
      <c r="A1732" s="4" t="str">
        <f>"CHOPE EUFORIA DE FRUTAS VERMELHAS - 300ML "</f>
        <v xml:space="preserve">CHOPE EUFORIA DE FRUTAS VERMELHAS - 300ML </v>
      </c>
      <c r="B1732" s="4" t="s">
        <v>12</v>
      </c>
      <c r="C1732" s="5">
        <v>35</v>
      </c>
      <c r="D1732" s="5">
        <v>2.89</v>
      </c>
      <c r="F1732" s="4" t="s">
        <v>9</v>
      </c>
      <c r="G1732" s="4" t="s">
        <v>1167</v>
      </c>
      <c r="H1732" s="6" t="s">
        <v>11</v>
      </c>
    </row>
    <row r="1733" spans="1:8" x14ac:dyDescent="0.25">
      <c r="A1733" s="4" t="str">
        <f>"CHOPE EUFORIA DE FRUTAS VERMELHAS - 400ML "</f>
        <v xml:space="preserve">CHOPE EUFORIA DE FRUTAS VERMELHAS - 400ML </v>
      </c>
      <c r="B1733" s="4" t="s">
        <v>12</v>
      </c>
      <c r="C1733" s="5">
        <v>40</v>
      </c>
      <c r="D1733" s="5">
        <v>3.86</v>
      </c>
      <c r="F1733" s="4" t="s">
        <v>9</v>
      </c>
      <c r="G1733" s="4" t="s">
        <v>1168</v>
      </c>
      <c r="H1733" s="6" t="s">
        <v>11</v>
      </c>
    </row>
    <row r="1734" spans="1:8" x14ac:dyDescent="0.25">
      <c r="A1734" s="4" t="s">
        <v>1171</v>
      </c>
      <c r="B1734" s="4" t="s">
        <v>12</v>
      </c>
      <c r="C1734" s="5">
        <v>20</v>
      </c>
      <c r="D1734" s="5">
        <v>5.82</v>
      </c>
      <c r="F1734" s="4" t="s">
        <v>9</v>
      </c>
      <c r="G1734" s="4" t="s">
        <v>1172</v>
      </c>
      <c r="H1734" s="6" t="s">
        <v>11</v>
      </c>
    </row>
    <row r="1735" spans="1:8" x14ac:dyDescent="0.25">
      <c r="A1735" s="4" t="s">
        <v>1173</v>
      </c>
      <c r="B1735" s="4" t="s">
        <v>12</v>
      </c>
      <c r="C1735" s="5">
        <v>25</v>
      </c>
      <c r="D1735" s="5">
        <v>7.76</v>
      </c>
      <c r="F1735" s="4" t="s">
        <v>9</v>
      </c>
      <c r="G1735" s="4" t="s">
        <v>1174</v>
      </c>
      <c r="H1735" s="6" t="s">
        <v>11</v>
      </c>
    </row>
    <row r="1736" spans="1:8" x14ac:dyDescent="0.25">
      <c r="A1736" s="4" t="s">
        <v>1179</v>
      </c>
      <c r="B1736" s="4" t="s">
        <v>12</v>
      </c>
      <c r="C1736" s="5">
        <v>20</v>
      </c>
      <c r="D1736" s="5">
        <v>7.2</v>
      </c>
      <c r="F1736" s="4" t="s">
        <v>9</v>
      </c>
      <c r="G1736" s="4" t="s">
        <v>1180</v>
      </c>
      <c r="H1736" s="6" t="s">
        <v>11</v>
      </c>
    </row>
    <row r="1737" spans="1:8" x14ac:dyDescent="0.25">
      <c r="A1737" s="4" t="s">
        <v>1181</v>
      </c>
      <c r="B1737" s="4" t="s">
        <v>12</v>
      </c>
      <c r="C1737" s="5">
        <v>25</v>
      </c>
      <c r="D1737" s="5">
        <v>9.6</v>
      </c>
      <c r="F1737" s="4" t="s">
        <v>9</v>
      </c>
      <c r="G1737" s="4" t="s">
        <v>1182</v>
      </c>
      <c r="H1737" s="6" t="s">
        <v>11</v>
      </c>
    </row>
    <row r="1738" spans="1:8" x14ac:dyDescent="0.25">
      <c r="A1738" s="4" t="s">
        <v>1183</v>
      </c>
      <c r="B1738" s="4" t="s">
        <v>12</v>
      </c>
      <c r="C1738" s="5">
        <v>20</v>
      </c>
      <c r="D1738" s="5">
        <v>5.76</v>
      </c>
      <c r="F1738" s="4" t="s">
        <v>9</v>
      </c>
      <c r="G1738" s="4" t="s">
        <v>1184</v>
      </c>
      <c r="H1738" s="6" t="s">
        <v>11</v>
      </c>
    </row>
    <row r="1739" spans="1:8" x14ac:dyDescent="0.25">
      <c r="A1739" s="4" t="str">
        <f>"CHOPE FORTUNA CHAI STOUT - 400ML "</f>
        <v xml:space="preserve">CHOPE FORTUNA CHAI STOUT - 400ML </v>
      </c>
      <c r="B1739" s="4" t="s">
        <v>12</v>
      </c>
      <c r="C1739" s="5">
        <v>25</v>
      </c>
      <c r="D1739" s="5">
        <v>7.68</v>
      </c>
      <c r="F1739" s="4" t="s">
        <v>9</v>
      </c>
      <c r="G1739" s="4" t="s">
        <v>1185</v>
      </c>
      <c r="H1739" s="6" t="s">
        <v>11</v>
      </c>
    </row>
    <row r="1740" spans="1:8" x14ac:dyDescent="0.25">
      <c r="A1740" s="4" t="s">
        <v>1191</v>
      </c>
      <c r="B1740" s="4" t="s">
        <v>12</v>
      </c>
      <c r="C1740" s="5">
        <v>20</v>
      </c>
      <c r="D1740" s="5">
        <v>5.7</v>
      </c>
      <c r="F1740" s="4" t="s">
        <v>9</v>
      </c>
      <c r="G1740" s="4" t="s">
        <v>1192</v>
      </c>
      <c r="H1740" s="6" t="s">
        <v>11</v>
      </c>
    </row>
    <row r="1741" spans="1:8" x14ac:dyDescent="0.25">
      <c r="A1741" s="4" t="s">
        <v>1193</v>
      </c>
      <c r="B1741" s="4" t="s">
        <v>12</v>
      </c>
      <c r="C1741" s="5">
        <v>25</v>
      </c>
      <c r="D1741" s="5">
        <v>7.6</v>
      </c>
      <c r="F1741" s="4" t="s">
        <v>9</v>
      </c>
      <c r="G1741" s="4" t="s">
        <v>1194</v>
      </c>
      <c r="H1741" s="6" t="s">
        <v>11</v>
      </c>
    </row>
    <row r="1742" spans="1:8" x14ac:dyDescent="0.25">
      <c r="A1742" s="4" t="str">
        <f>"CHOPE FROGGY IPA  - 400ML "</f>
        <v xml:space="preserve">CHOPE FROGGY IPA  - 400ML </v>
      </c>
      <c r="B1742" s="4" t="s">
        <v>12</v>
      </c>
      <c r="C1742" s="5">
        <v>25</v>
      </c>
      <c r="D1742" s="5">
        <v>7.6</v>
      </c>
      <c r="F1742" s="4" t="s">
        <v>9</v>
      </c>
      <c r="G1742" s="4" t="s">
        <v>1195</v>
      </c>
      <c r="H1742" s="6" t="s">
        <v>11</v>
      </c>
    </row>
    <row r="1743" spans="1:8" x14ac:dyDescent="0.25">
      <c r="A1743" s="4" t="str">
        <f>"CHOPE FROGGY IPA  -300ML "</f>
        <v xml:space="preserve">CHOPE FROGGY IPA  -300ML </v>
      </c>
      <c r="B1743" s="4" t="s">
        <v>12</v>
      </c>
      <c r="C1743" s="5">
        <v>20</v>
      </c>
      <c r="D1743" s="5">
        <v>5.7</v>
      </c>
      <c r="F1743" s="4" t="s">
        <v>9</v>
      </c>
      <c r="G1743" s="4" t="s">
        <v>1197</v>
      </c>
      <c r="H1743" s="6" t="s">
        <v>11</v>
      </c>
    </row>
    <row r="1744" spans="1:8" x14ac:dyDescent="0.25">
      <c r="A1744" s="4" t="str">
        <f>"CHOPE FROHENFELD - HAHNEN - 300ML "</f>
        <v xml:space="preserve">CHOPE FROHENFELD - HAHNEN - 300ML </v>
      </c>
      <c r="B1744" s="4" t="s">
        <v>12</v>
      </c>
      <c r="C1744" s="5">
        <v>20</v>
      </c>
      <c r="D1744" s="5">
        <v>10.119999999999999</v>
      </c>
      <c r="F1744" s="4" t="s">
        <v>9</v>
      </c>
      <c r="G1744" s="4" t="s">
        <v>1202</v>
      </c>
      <c r="H1744" s="6" t="s">
        <v>11</v>
      </c>
    </row>
    <row r="1745" spans="1:8" x14ac:dyDescent="0.25">
      <c r="A1745" s="4" t="str">
        <f>"CHOPE FROHENFELD - HAHNEN - 400ML "</f>
        <v xml:space="preserve">CHOPE FROHENFELD - HAHNEN - 400ML </v>
      </c>
      <c r="B1745" s="4" t="s">
        <v>12</v>
      </c>
      <c r="C1745" s="5">
        <v>25</v>
      </c>
      <c r="D1745" s="5">
        <v>10.119999999999999</v>
      </c>
      <c r="F1745" s="4" t="s">
        <v>9</v>
      </c>
      <c r="G1745" s="4" t="s">
        <v>1203</v>
      </c>
      <c r="H1745" s="6" t="s">
        <v>11</v>
      </c>
    </row>
    <row r="1746" spans="1:8" x14ac:dyDescent="0.25">
      <c r="A1746" s="4" t="s">
        <v>1205</v>
      </c>
      <c r="B1746" s="4" t="s">
        <v>12</v>
      </c>
      <c r="C1746" s="5">
        <v>20</v>
      </c>
      <c r="D1746" s="5">
        <v>4.9000000000000004</v>
      </c>
      <c r="F1746" s="4" t="s">
        <v>9</v>
      </c>
      <c r="G1746" s="4" t="s">
        <v>1206</v>
      </c>
      <c r="H1746" s="6" t="s">
        <v>11</v>
      </c>
    </row>
    <row r="1747" spans="1:8" x14ac:dyDescent="0.25">
      <c r="A1747" s="4" t="s">
        <v>1207</v>
      </c>
      <c r="B1747" s="4" t="s">
        <v>12</v>
      </c>
      <c r="C1747" s="5">
        <v>25</v>
      </c>
      <c r="D1747" s="5">
        <v>6.53</v>
      </c>
      <c r="F1747" s="4" t="s">
        <v>9</v>
      </c>
      <c r="G1747" s="4" t="s">
        <v>1208</v>
      </c>
      <c r="H1747" s="6" t="s">
        <v>11</v>
      </c>
    </row>
    <row r="1748" spans="1:8" x14ac:dyDescent="0.25">
      <c r="A1748" s="4" t="str">
        <f>"CHOPE FUMACONICA HASH BLACK DOUBLE BLACK IPA 300ML "</f>
        <v xml:space="preserve">CHOPE FUMACONICA HASH BLACK DOUBLE BLACK IPA 300ML </v>
      </c>
      <c r="B1748" s="4" t="s">
        <v>12</v>
      </c>
      <c r="C1748" s="5">
        <v>20</v>
      </c>
      <c r="D1748" s="5">
        <v>0.66</v>
      </c>
      <c r="F1748" s="4" t="s">
        <v>9</v>
      </c>
      <c r="G1748" s="4" t="s">
        <v>1215</v>
      </c>
      <c r="H1748" s="6" t="s">
        <v>11</v>
      </c>
    </row>
    <row r="1749" spans="1:8" x14ac:dyDescent="0.25">
      <c r="A1749" s="4" t="s">
        <v>1216</v>
      </c>
      <c r="B1749" s="4" t="s">
        <v>12</v>
      </c>
      <c r="C1749" s="5">
        <v>20</v>
      </c>
      <c r="D1749" s="5">
        <v>7.1</v>
      </c>
      <c r="F1749" s="4" t="s">
        <v>9</v>
      </c>
      <c r="G1749" s="4" t="s">
        <v>1217</v>
      </c>
      <c r="H1749" s="6" t="s">
        <v>11</v>
      </c>
    </row>
    <row r="1750" spans="1:8" x14ac:dyDescent="0.25">
      <c r="A1750" s="4" t="str">
        <f>"CHOPE FUMACONICA SUPER COFFE IPA - 400ML "</f>
        <v xml:space="preserve">CHOPE FUMACONICA SUPER COFFE IPA - 400ML </v>
      </c>
      <c r="B1750" s="4" t="s">
        <v>12</v>
      </c>
      <c r="C1750" s="5">
        <v>25</v>
      </c>
      <c r="D1750" s="5">
        <v>9.4600000000000009</v>
      </c>
      <c r="F1750" s="4" t="s">
        <v>9</v>
      </c>
      <c r="G1750" s="4" t="s">
        <v>1218</v>
      </c>
      <c r="H1750" s="6" t="s">
        <v>11</v>
      </c>
    </row>
    <row r="1751" spans="1:8" x14ac:dyDescent="0.25">
      <c r="A1751" s="4" t="s">
        <v>1223</v>
      </c>
      <c r="B1751" s="4" t="s">
        <v>12</v>
      </c>
      <c r="C1751" s="5">
        <v>20</v>
      </c>
      <c r="D1751" s="5">
        <v>4.05</v>
      </c>
      <c r="F1751" s="4" t="s">
        <v>9</v>
      </c>
      <c r="G1751" s="4" t="s">
        <v>1224</v>
      </c>
      <c r="H1751" s="6" t="s">
        <v>11</v>
      </c>
    </row>
    <row r="1752" spans="1:8" x14ac:dyDescent="0.25">
      <c r="A1752" s="4" t="s">
        <v>1225</v>
      </c>
      <c r="B1752" s="4" t="s">
        <v>12</v>
      </c>
      <c r="C1752" s="5">
        <v>25</v>
      </c>
      <c r="D1752" s="5">
        <v>5.4</v>
      </c>
      <c r="F1752" s="4" t="s">
        <v>9</v>
      </c>
      <c r="G1752" s="4" t="s">
        <v>1226</v>
      </c>
      <c r="H1752" s="6" t="s">
        <v>11</v>
      </c>
    </row>
    <row r="1753" spans="1:8" x14ac:dyDescent="0.25">
      <c r="A1753" s="4" t="s">
        <v>1228</v>
      </c>
      <c r="B1753" s="4" t="s">
        <v>12</v>
      </c>
      <c r="C1753" s="5">
        <v>20</v>
      </c>
      <c r="D1753" s="5">
        <v>4.53</v>
      </c>
      <c r="F1753" s="4" t="s">
        <v>9</v>
      </c>
      <c r="G1753" s="4" t="s">
        <v>1229</v>
      </c>
      <c r="H1753" s="6" t="s">
        <v>11</v>
      </c>
    </row>
    <row r="1754" spans="1:8" x14ac:dyDescent="0.25">
      <c r="A1754" s="4" t="str">
        <f>"CHOPE GARROTE- 400ML "</f>
        <v xml:space="preserve">CHOPE GARROTE- 400ML </v>
      </c>
      <c r="B1754" s="4" t="s">
        <v>12</v>
      </c>
      <c r="C1754" s="5">
        <v>25</v>
      </c>
      <c r="D1754" s="5">
        <v>6.04</v>
      </c>
      <c r="F1754" s="4" t="s">
        <v>9</v>
      </c>
      <c r="G1754" s="4" t="s">
        <v>1230</v>
      </c>
      <c r="H1754" s="6" t="s">
        <v>11</v>
      </c>
    </row>
    <row r="1755" spans="1:8" x14ac:dyDescent="0.25">
      <c r="A1755" s="4" t="str">
        <f>"CHOPE GELB GOSE  400ML "</f>
        <v xml:space="preserve">CHOPE GELB GOSE  400ML </v>
      </c>
      <c r="B1755" s="4" t="s">
        <v>12</v>
      </c>
      <c r="C1755" s="5">
        <v>25</v>
      </c>
      <c r="D1755" s="5">
        <v>7.4</v>
      </c>
      <c r="F1755" s="4" t="s">
        <v>9</v>
      </c>
      <c r="G1755" s="4" t="s">
        <v>1233</v>
      </c>
      <c r="H1755" s="6" t="s">
        <v>11</v>
      </c>
    </row>
    <row r="1756" spans="1:8" x14ac:dyDescent="0.25">
      <c r="A1756" s="4" t="s">
        <v>1234</v>
      </c>
      <c r="B1756" s="4" t="s">
        <v>12</v>
      </c>
      <c r="C1756" s="5">
        <v>20</v>
      </c>
      <c r="D1756" s="5">
        <v>5.55</v>
      </c>
      <c r="F1756" s="4" t="s">
        <v>9</v>
      </c>
      <c r="G1756" s="4" t="s">
        <v>1235</v>
      </c>
      <c r="H1756" s="6" t="s">
        <v>11</v>
      </c>
    </row>
    <row r="1757" spans="1:8" x14ac:dyDescent="0.25">
      <c r="A1757" s="4" t="s">
        <v>1236</v>
      </c>
      <c r="B1757" s="4" t="s">
        <v>12</v>
      </c>
      <c r="C1757" s="5">
        <v>20</v>
      </c>
      <c r="D1757" s="5">
        <v>5.24</v>
      </c>
      <c r="F1757" s="4" t="s">
        <v>9</v>
      </c>
      <c r="G1757" s="4" t="s">
        <v>1237</v>
      </c>
      <c r="H1757" s="6" t="s">
        <v>11</v>
      </c>
    </row>
    <row r="1758" spans="1:8" x14ac:dyDescent="0.25">
      <c r="A1758" s="4" t="s">
        <v>1238</v>
      </c>
      <c r="B1758" s="4" t="s">
        <v>12</v>
      </c>
      <c r="C1758" s="5">
        <v>20</v>
      </c>
      <c r="D1758" s="5">
        <v>6.85</v>
      </c>
      <c r="F1758" s="4" t="s">
        <v>9</v>
      </c>
      <c r="G1758" s="4" t="s">
        <v>1239</v>
      </c>
      <c r="H1758" s="6" t="s">
        <v>11</v>
      </c>
    </row>
    <row r="1759" spans="1:8" x14ac:dyDescent="0.25">
      <c r="A1759" s="4" t="str">
        <f>"CHOPE GO THE EXTRA MILE SESSION HAZY IPA-400ML "</f>
        <v xml:space="preserve">CHOPE GO THE EXTRA MILE SESSION HAZY IPA-400ML </v>
      </c>
      <c r="B1759" s="4" t="s">
        <v>12</v>
      </c>
      <c r="C1759" s="5">
        <v>25</v>
      </c>
      <c r="D1759" s="5">
        <v>9.1300000000000008</v>
      </c>
      <c r="F1759" s="4" t="s">
        <v>9</v>
      </c>
      <c r="G1759" s="4" t="s">
        <v>1240</v>
      </c>
      <c r="H1759" s="6" t="s">
        <v>11</v>
      </c>
    </row>
    <row r="1760" spans="1:8" x14ac:dyDescent="0.25">
      <c r="A1760" s="4" t="s">
        <v>1242</v>
      </c>
      <c r="B1760" s="4" t="s">
        <v>12</v>
      </c>
      <c r="C1760" s="5">
        <v>20</v>
      </c>
      <c r="D1760" s="5">
        <v>5.37</v>
      </c>
      <c r="F1760" s="4" t="s">
        <v>9</v>
      </c>
      <c r="G1760" s="4" t="s">
        <v>1243</v>
      </c>
      <c r="H1760" s="6" t="s">
        <v>11</v>
      </c>
    </row>
    <row r="1761" spans="1:8" x14ac:dyDescent="0.25">
      <c r="A1761" s="4" t="s">
        <v>1244</v>
      </c>
      <c r="B1761" s="4" t="s">
        <v>12</v>
      </c>
      <c r="C1761" s="5">
        <v>25</v>
      </c>
      <c r="D1761" s="5">
        <v>7.16</v>
      </c>
      <c r="F1761" s="4" t="s">
        <v>9</v>
      </c>
      <c r="G1761" s="4" t="s">
        <v>1245</v>
      </c>
      <c r="H1761" s="6" t="s">
        <v>11</v>
      </c>
    </row>
    <row r="1762" spans="1:8" x14ac:dyDescent="0.25">
      <c r="A1762" s="4" t="s">
        <v>1249</v>
      </c>
      <c r="B1762" s="4" t="s">
        <v>12</v>
      </c>
      <c r="C1762" s="5">
        <v>20</v>
      </c>
      <c r="D1762" s="5">
        <v>6</v>
      </c>
      <c r="F1762" s="4" t="s">
        <v>9</v>
      </c>
      <c r="G1762" s="4" t="s">
        <v>1250</v>
      </c>
      <c r="H1762" s="6" t="s">
        <v>11</v>
      </c>
    </row>
    <row r="1763" spans="1:8" x14ac:dyDescent="0.25">
      <c r="A1763" s="4" t="s">
        <v>1251</v>
      </c>
      <c r="B1763" s="4" t="s">
        <v>12</v>
      </c>
      <c r="C1763" s="5">
        <v>25</v>
      </c>
      <c r="D1763" s="5">
        <v>8</v>
      </c>
      <c r="F1763" s="4" t="s">
        <v>9</v>
      </c>
      <c r="G1763" s="4" t="s">
        <v>1252</v>
      </c>
      <c r="H1763" s="6" t="s">
        <v>11</v>
      </c>
    </row>
    <row r="1764" spans="1:8" x14ac:dyDescent="0.25">
      <c r="A1764" s="4" t="s">
        <v>1255</v>
      </c>
      <c r="B1764" s="4" t="s">
        <v>12</v>
      </c>
      <c r="C1764" s="5">
        <v>25</v>
      </c>
      <c r="D1764" s="5">
        <v>6.3</v>
      </c>
      <c r="F1764" s="4" t="s">
        <v>9</v>
      </c>
      <c r="G1764" s="4" t="s">
        <v>1256</v>
      </c>
      <c r="H1764" s="6" t="s">
        <v>11</v>
      </c>
    </row>
    <row r="1765" spans="1:8" x14ac:dyDescent="0.25">
      <c r="A1765" s="4" t="s">
        <v>1257</v>
      </c>
      <c r="B1765" s="4" t="s">
        <v>12</v>
      </c>
      <c r="C1765" s="5">
        <v>25</v>
      </c>
      <c r="D1765" s="5">
        <v>7.85</v>
      </c>
      <c r="F1765" s="4" t="s">
        <v>9</v>
      </c>
      <c r="G1765" s="4" t="s">
        <v>1258</v>
      </c>
      <c r="H1765" s="6" t="s">
        <v>11</v>
      </c>
    </row>
    <row r="1766" spans="1:8" x14ac:dyDescent="0.25">
      <c r="A1766" s="4" t="s">
        <v>1259</v>
      </c>
      <c r="B1766" s="4" t="s">
        <v>12</v>
      </c>
      <c r="C1766" s="5">
        <v>30</v>
      </c>
      <c r="D1766" s="5">
        <v>10.46</v>
      </c>
      <c r="F1766" s="4" t="s">
        <v>9</v>
      </c>
      <c r="G1766" s="4" t="s">
        <v>1260</v>
      </c>
      <c r="H1766" s="6" t="s">
        <v>11</v>
      </c>
    </row>
    <row r="1767" spans="1:8" x14ac:dyDescent="0.25">
      <c r="A1767" s="4" t="s">
        <v>1264</v>
      </c>
      <c r="B1767" s="4" t="s">
        <v>12</v>
      </c>
      <c r="C1767" s="5">
        <v>20</v>
      </c>
      <c r="D1767" s="5">
        <v>6.45</v>
      </c>
      <c r="F1767" s="4" t="s">
        <v>9</v>
      </c>
      <c r="G1767" s="4" t="s">
        <v>1265</v>
      </c>
      <c r="H1767" s="6" t="s">
        <v>11</v>
      </c>
    </row>
    <row r="1768" spans="1:8" x14ac:dyDescent="0.25">
      <c r="A1768" s="4" t="s">
        <v>1266</v>
      </c>
      <c r="B1768" s="4" t="s">
        <v>12</v>
      </c>
      <c r="C1768" s="5">
        <v>25</v>
      </c>
      <c r="D1768" s="5">
        <v>8.6</v>
      </c>
      <c r="F1768" s="4" t="s">
        <v>9</v>
      </c>
      <c r="G1768" s="4" t="s">
        <v>1267</v>
      </c>
      <c r="H1768" s="6" t="s">
        <v>11</v>
      </c>
    </row>
    <row r="1769" spans="1:8" x14ac:dyDescent="0.25">
      <c r="A1769" s="4" t="s">
        <v>1273</v>
      </c>
      <c r="B1769" s="4" t="s">
        <v>12</v>
      </c>
      <c r="C1769" s="5">
        <v>20</v>
      </c>
      <c r="D1769" s="5">
        <v>6.9</v>
      </c>
      <c r="F1769" s="4" t="s">
        <v>9</v>
      </c>
      <c r="G1769" s="4" t="s">
        <v>1274</v>
      </c>
      <c r="H1769" s="6" t="s">
        <v>11</v>
      </c>
    </row>
    <row r="1770" spans="1:8" x14ac:dyDescent="0.25">
      <c r="A1770" s="4" t="s">
        <v>1275</v>
      </c>
      <c r="B1770" s="4" t="s">
        <v>12</v>
      </c>
      <c r="C1770" s="5">
        <v>25</v>
      </c>
      <c r="D1770" s="5">
        <v>9.1999999999999993</v>
      </c>
      <c r="F1770" s="4" t="s">
        <v>9</v>
      </c>
      <c r="G1770" s="4" t="s">
        <v>1276</v>
      </c>
      <c r="H1770" s="6" t="s">
        <v>11</v>
      </c>
    </row>
    <row r="1771" spans="1:8" x14ac:dyDescent="0.25">
      <c r="A1771" s="4" t="s">
        <v>1280</v>
      </c>
      <c r="B1771" s="4" t="s">
        <v>12</v>
      </c>
      <c r="C1771" s="5">
        <v>20</v>
      </c>
      <c r="D1771" s="5">
        <v>4.55</v>
      </c>
      <c r="F1771" s="4" t="s">
        <v>9</v>
      </c>
      <c r="G1771" s="4" t="s">
        <v>1281</v>
      </c>
      <c r="H1771" s="6" t="s">
        <v>11</v>
      </c>
    </row>
    <row r="1772" spans="1:8" x14ac:dyDescent="0.25">
      <c r="A1772" s="4" t="s">
        <v>1282</v>
      </c>
      <c r="B1772" s="4" t="s">
        <v>12</v>
      </c>
      <c r="C1772" s="5">
        <v>25</v>
      </c>
      <c r="D1772" s="5">
        <v>6.06</v>
      </c>
      <c r="F1772" s="4" t="s">
        <v>9</v>
      </c>
      <c r="G1772" s="4" t="s">
        <v>1283</v>
      </c>
      <c r="H1772" s="6" t="s">
        <v>11</v>
      </c>
    </row>
    <row r="1773" spans="1:8" x14ac:dyDescent="0.25">
      <c r="A1773" s="4" t="str">
        <f>"CHOPE HELLES WEISSE 300ML "</f>
        <v xml:space="preserve">CHOPE HELLES WEISSE 300ML </v>
      </c>
      <c r="B1773" s="4" t="s">
        <v>12</v>
      </c>
      <c r="C1773" s="5">
        <v>20</v>
      </c>
      <c r="D1773" s="5">
        <v>6.55</v>
      </c>
      <c r="F1773" s="4" t="s">
        <v>9</v>
      </c>
      <c r="G1773" s="4" t="s">
        <v>1288</v>
      </c>
      <c r="H1773" s="6" t="s">
        <v>11</v>
      </c>
    </row>
    <row r="1774" spans="1:8" x14ac:dyDescent="0.25">
      <c r="A1774" s="4" t="str">
        <f>"CHOPE HELLES WEISSE 400ML "</f>
        <v xml:space="preserve">CHOPE HELLES WEISSE 400ML </v>
      </c>
      <c r="B1774" s="4" t="s">
        <v>12</v>
      </c>
      <c r="C1774" s="5">
        <v>25</v>
      </c>
      <c r="D1774" s="5">
        <v>8.73</v>
      </c>
      <c r="F1774" s="4" t="s">
        <v>9</v>
      </c>
      <c r="G1774" s="4" t="s">
        <v>1289</v>
      </c>
      <c r="H1774" s="6" t="s">
        <v>11</v>
      </c>
    </row>
    <row r="1775" spans="1:8" x14ac:dyDescent="0.25">
      <c r="A1775" s="4" t="s">
        <v>1292</v>
      </c>
      <c r="B1775" s="4" t="s">
        <v>12</v>
      </c>
      <c r="C1775" s="5">
        <v>17</v>
      </c>
      <c r="D1775" s="5">
        <v>4.1900000000000004</v>
      </c>
      <c r="F1775" s="4" t="s">
        <v>9</v>
      </c>
      <c r="G1775" s="4" t="s">
        <v>1293</v>
      </c>
      <c r="H1775" s="6" t="s">
        <v>11</v>
      </c>
    </row>
    <row r="1776" spans="1:8" x14ac:dyDescent="0.25">
      <c r="A1776" s="4" t="s">
        <v>1294</v>
      </c>
      <c r="B1776" s="4" t="s">
        <v>12</v>
      </c>
      <c r="C1776" s="5">
        <v>20</v>
      </c>
      <c r="D1776" s="5">
        <v>5.58</v>
      </c>
      <c r="F1776" s="4" t="s">
        <v>9</v>
      </c>
      <c r="G1776" s="4" t="s">
        <v>1295</v>
      </c>
      <c r="H1776" s="6" t="s">
        <v>11</v>
      </c>
    </row>
    <row r="1777" spans="1:8" x14ac:dyDescent="0.25">
      <c r="A1777" s="4" t="s">
        <v>1296</v>
      </c>
      <c r="B1777" s="4" t="s">
        <v>12</v>
      </c>
      <c r="C1777" s="5">
        <v>20</v>
      </c>
      <c r="D1777" s="5">
        <v>5.67</v>
      </c>
      <c r="F1777" s="4" t="s">
        <v>9</v>
      </c>
      <c r="G1777" s="4" t="s">
        <v>1297</v>
      </c>
      <c r="H1777" s="6" t="s">
        <v>11</v>
      </c>
    </row>
    <row r="1778" spans="1:8" x14ac:dyDescent="0.25">
      <c r="A1778" s="4" t="s">
        <v>1298</v>
      </c>
      <c r="B1778" s="4" t="s">
        <v>12</v>
      </c>
      <c r="C1778" s="5">
        <v>25</v>
      </c>
      <c r="D1778" s="5">
        <v>7.56</v>
      </c>
      <c r="F1778" s="4" t="s">
        <v>9</v>
      </c>
      <c r="G1778" s="4" t="s">
        <v>1299</v>
      </c>
      <c r="H1778" s="6" t="s">
        <v>11</v>
      </c>
    </row>
    <row r="1779" spans="1:8" x14ac:dyDescent="0.25">
      <c r="A1779" s="4" t="s">
        <v>1300</v>
      </c>
      <c r="B1779" s="4" t="s">
        <v>12</v>
      </c>
      <c r="C1779" s="5">
        <v>20</v>
      </c>
      <c r="D1779" s="5">
        <v>7.6</v>
      </c>
      <c r="F1779" s="4" t="s">
        <v>9</v>
      </c>
      <c r="G1779" s="4" t="s">
        <v>1301</v>
      </c>
      <c r="H1779" s="6" t="s">
        <v>11</v>
      </c>
    </row>
    <row r="1780" spans="1:8" x14ac:dyDescent="0.25">
      <c r="A1780" s="4" t="str">
        <f>"CHOPE HESPANHA MANGA CASCAO - 400ML "</f>
        <v xml:space="preserve">CHOPE HESPANHA MANGA CASCAO - 400ML </v>
      </c>
      <c r="B1780" s="4" t="s">
        <v>12</v>
      </c>
      <c r="C1780" s="5">
        <v>25</v>
      </c>
      <c r="D1780" s="5">
        <v>7.6</v>
      </c>
      <c r="F1780" s="4" t="s">
        <v>9</v>
      </c>
      <c r="G1780" s="4" t="s">
        <v>1302</v>
      </c>
      <c r="H1780" s="6" t="s">
        <v>11</v>
      </c>
    </row>
    <row r="1781" spans="1:8" x14ac:dyDescent="0.25">
      <c r="A1781" s="4" t="s">
        <v>1307</v>
      </c>
      <c r="B1781" s="4" t="s">
        <v>12</v>
      </c>
      <c r="C1781" s="5">
        <v>20</v>
      </c>
      <c r="D1781" s="5">
        <v>5.97</v>
      </c>
      <c r="F1781" s="4" t="s">
        <v>9</v>
      </c>
      <c r="G1781" s="4" t="s">
        <v>1308</v>
      </c>
      <c r="H1781" s="6" t="s">
        <v>11</v>
      </c>
    </row>
    <row r="1782" spans="1:8" x14ac:dyDescent="0.25">
      <c r="A1782" s="4" t="s">
        <v>1309</v>
      </c>
      <c r="B1782" s="4" t="s">
        <v>12</v>
      </c>
      <c r="C1782" s="5">
        <v>25</v>
      </c>
      <c r="D1782" s="5">
        <v>7.96</v>
      </c>
      <c r="F1782" s="4" t="s">
        <v>9</v>
      </c>
      <c r="G1782" s="4" t="s">
        <v>1310</v>
      </c>
      <c r="H1782" s="6" t="s">
        <v>11</v>
      </c>
    </row>
    <row r="1783" spans="1:8" x14ac:dyDescent="0.25">
      <c r="A1783" s="4" t="s">
        <v>1311</v>
      </c>
      <c r="B1783" s="4" t="s">
        <v>12</v>
      </c>
      <c r="C1783" s="5">
        <v>20</v>
      </c>
      <c r="D1783" s="5">
        <v>6.57</v>
      </c>
      <c r="F1783" s="4" t="s">
        <v>9</v>
      </c>
      <c r="G1783" s="4" t="s">
        <v>1312</v>
      </c>
      <c r="H1783" s="6" t="s">
        <v>11</v>
      </c>
    </row>
    <row r="1784" spans="1:8" x14ac:dyDescent="0.25">
      <c r="A1784" s="4" t="str">
        <f>"CHOPE HESPANHA RUBIN - 400ML "</f>
        <v xml:space="preserve">CHOPE HESPANHA RUBIN - 400ML </v>
      </c>
      <c r="B1784" s="4" t="s">
        <v>12</v>
      </c>
      <c r="C1784" s="5">
        <v>25</v>
      </c>
      <c r="D1784" s="5">
        <v>8.76</v>
      </c>
      <c r="F1784" s="4" t="s">
        <v>9</v>
      </c>
      <c r="G1784" s="4" t="s">
        <v>1313</v>
      </c>
      <c r="H1784" s="6" t="s">
        <v>11</v>
      </c>
    </row>
    <row r="1785" spans="1:8" x14ac:dyDescent="0.25">
      <c r="A1785" s="4" t="s">
        <v>1315</v>
      </c>
      <c r="B1785" s="4" t="s">
        <v>12</v>
      </c>
      <c r="C1785" s="5">
        <v>25</v>
      </c>
      <c r="D1785" s="5">
        <v>0.7</v>
      </c>
      <c r="F1785" s="4" t="s">
        <v>9</v>
      </c>
      <c r="G1785" s="4" t="s">
        <v>1316</v>
      </c>
      <c r="H1785" s="6" t="s">
        <v>11</v>
      </c>
    </row>
    <row r="1786" spans="1:8" x14ac:dyDescent="0.25">
      <c r="A1786" s="4" t="s">
        <v>1317</v>
      </c>
      <c r="B1786" s="4" t="s">
        <v>12</v>
      </c>
      <c r="C1786" s="5">
        <v>20</v>
      </c>
      <c r="D1786" s="5">
        <v>5.27</v>
      </c>
      <c r="F1786" s="4" t="s">
        <v>9</v>
      </c>
      <c r="G1786" s="4" t="s">
        <v>1318</v>
      </c>
      <c r="H1786" s="6" t="s">
        <v>11</v>
      </c>
    </row>
    <row r="1787" spans="1:8" x14ac:dyDescent="0.25">
      <c r="A1787" s="4" t="str">
        <f>"CHOPE HEY NEGRITA - 400ML "</f>
        <v xml:space="preserve">CHOPE HEY NEGRITA - 400ML </v>
      </c>
      <c r="B1787" s="4" t="s">
        <v>12</v>
      </c>
      <c r="C1787" s="5">
        <v>25</v>
      </c>
      <c r="D1787" s="5">
        <v>5.6</v>
      </c>
      <c r="F1787" s="4" t="s">
        <v>9</v>
      </c>
      <c r="G1787" s="4" t="s">
        <v>1319</v>
      </c>
      <c r="H1787" s="6" t="s">
        <v>11</v>
      </c>
    </row>
    <row r="1788" spans="1:8" x14ac:dyDescent="0.25">
      <c r="A1788" s="4" t="s">
        <v>1320</v>
      </c>
      <c r="B1788" s="4" t="s">
        <v>12</v>
      </c>
      <c r="C1788" s="5">
        <v>20</v>
      </c>
      <c r="D1788" s="5">
        <v>4.2</v>
      </c>
      <c r="F1788" s="4" t="s">
        <v>9</v>
      </c>
      <c r="G1788" s="4" t="s">
        <v>1321</v>
      </c>
      <c r="H1788" s="6" t="s">
        <v>11</v>
      </c>
    </row>
    <row r="1789" spans="1:8" x14ac:dyDescent="0.25">
      <c r="A1789" s="4" t="s">
        <v>1324</v>
      </c>
      <c r="B1789" s="4" t="s">
        <v>12</v>
      </c>
      <c r="C1789" s="5">
        <v>20</v>
      </c>
      <c r="D1789" s="5">
        <v>4.95</v>
      </c>
      <c r="F1789" s="4" t="s">
        <v>9</v>
      </c>
      <c r="G1789" s="4" t="s">
        <v>1325</v>
      </c>
      <c r="H1789" s="6" t="s">
        <v>11</v>
      </c>
    </row>
    <row r="1790" spans="1:8" x14ac:dyDescent="0.25">
      <c r="A1790" s="4" t="s">
        <v>1326</v>
      </c>
      <c r="B1790" s="4" t="s">
        <v>12</v>
      </c>
      <c r="C1790" s="5">
        <v>25</v>
      </c>
      <c r="D1790" s="5">
        <v>6.6</v>
      </c>
      <c r="F1790" s="4" t="s">
        <v>9</v>
      </c>
      <c r="G1790" s="4" t="s">
        <v>1327</v>
      </c>
      <c r="H1790" s="6" t="s">
        <v>11</v>
      </c>
    </row>
    <row r="1791" spans="1:8" x14ac:dyDescent="0.25">
      <c r="A1791" s="4" t="s">
        <v>1329</v>
      </c>
      <c r="B1791" s="4" t="s">
        <v>12</v>
      </c>
      <c r="C1791" s="5">
        <v>20</v>
      </c>
      <c r="D1791" s="5">
        <v>6.87</v>
      </c>
      <c r="F1791" s="4" t="s">
        <v>9</v>
      </c>
      <c r="G1791" s="4" t="s">
        <v>1330</v>
      </c>
      <c r="H1791" s="6" t="s">
        <v>11</v>
      </c>
    </row>
    <row r="1792" spans="1:8" x14ac:dyDescent="0.25">
      <c r="A1792" s="4" t="s">
        <v>1331</v>
      </c>
      <c r="B1792" s="4" t="s">
        <v>12</v>
      </c>
      <c r="C1792" s="5">
        <v>25</v>
      </c>
      <c r="D1792" s="5">
        <v>9.16</v>
      </c>
      <c r="F1792" s="4" t="s">
        <v>9</v>
      </c>
      <c r="G1792" s="4" t="s">
        <v>1332</v>
      </c>
      <c r="H1792" s="6" t="s">
        <v>11</v>
      </c>
    </row>
    <row r="1793" spans="1:8" x14ac:dyDescent="0.25">
      <c r="A1793" s="4" t="s">
        <v>1335</v>
      </c>
      <c r="B1793" s="4" t="s">
        <v>12</v>
      </c>
      <c r="C1793" s="5">
        <v>20</v>
      </c>
      <c r="D1793" s="5">
        <v>7.5</v>
      </c>
      <c r="F1793" s="4" t="s">
        <v>9</v>
      </c>
      <c r="G1793" s="4" t="s">
        <v>1336</v>
      </c>
      <c r="H1793" s="6" t="s">
        <v>11</v>
      </c>
    </row>
    <row r="1794" spans="1:8" x14ac:dyDescent="0.25">
      <c r="A1794" s="4" t="s">
        <v>1337</v>
      </c>
      <c r="B1794" s="4" t="s">
        <v>12</v>
      </c>
      <c r="C1794" s="5">
        <v>25</v>
      </c>
      <c r="D1794" s="5">
        <v>10</v>
      </c>
      <c r="F1794" s="4" t="s">
        <v>9</v>
      </c>
      <c r="G1794" s="4" t="s">
        <v>1338</v>
      </c>
      <c r="H1794" s="6" t="s">
        <v>11</v>
      </c>
    </row>
    <row r="1795" spans="1:8" x14ac:dyDescent="0.25">
      <c r="A1795" s="4" t="str">
        <f>"CHOPE HUMPKIN -  400ML "</f>
        <v xml:space="preserve">CHOPE HUMPKIN -  400ML </v>
      </c>
      <c r="B1795" s="4" t="s">
        <v>12</v>
      </c>
      <c r="C1795" s="5">
        <v>25</v>
      </c>
      <c r="D1795" s="5">
        <v>7.76</v>
      </c>
      <c r="F1795" s="4" t="s">
        <v>9</v>
      </c>
      <c r="G1795" s="4" t="s">
        <v>1341</v>
      </c>
      <c r="H1795" s="6" t="s">
        <v>11</v>
      </c>
    </row>
    <row r="1796" spans="1:8" x14ac:dyDescent="0.25">
      <c r="A1796" s="4" t="s">
        <v>1342</v>
      </c>
      <c r="B1796" s="4" t="s">
        <v>12</v>
      </c>
      <c r="C1796" s="5">
        <v>25</v>
      </c>
      <c r="D1796" s="5">
        <v>5.82</v>
      </c>
      <c r="F1796" s="4" t="s">
        <v>9</v>
      </c>
      <c r="G1796" s="4" t="s">
        <v>1343</v>
      </c>
      <c r="H1796" s="6" t="s">
        <v>11</v>
      </c>
    </row>
    <row r="1797" spans="1:8" x14ac:dyDescent="0.25">
      <c r="A1797" s="4" t="s">
        <v>1345</v>
      </c>
      <c r="B1797" s="4" t="s">
        <v>12</v>
      </c>
      <c r="C1797" s="5">
        <v>20</v>
      </c>
      <c r="D1797" s="5">
        <v>7.62</v>
      </c>
      <c r="F1797" s="4" t="s">
        <v>9</v>
      </c>
      <c r="G1797" s="4" t="s">
        <v>1346</v>
      </c>
      <c r="H1797" s="6" t="s">
        <v>11</v>
      </c>
    </row>
    <row r="1798" spans="1:8" x14ac:dyDescent="0.25">
      <c r="A1798" s="4" t="s">
        <v>1347</v>
      </c>
      <c r="B1798" s="4" t="s">
        <v>12</v>
      </c>
      <c r="C1798" s="5">
        <v>25</v>
      </c>
      <c r="D1798" s="5">
        <v>10.16</v>
      </c>
      <c r="F1798" s="4" t="s">
        <v>9</v>
      </c>
      <c r="G1798" s="4" t="s">
        <v>1348</v>
      </c>
      <c r="H1798" s="6" t="s">
        <v>11</v>
      </c>
    </row>
    <row r="1799" spans="1:8" x14ac:dyDescent="0.25">
      <c r="A1799" s="4" t="str">
        <f>"CHOPE IGNORUS - LA BELLE DE JOUR -300ML "</f>
        <v xml:space="preserve">CHOPE IGNORUS - LA BELLE DE JOUR -300ML </v>
      </c>
      <c r="B1799" s="4" t="s">
        <v>12</v>
      </c>
      <c r="C1799" s="5">
        <v>20</v>
      </c>
      <c r="D1799" s="5">
        <v>5.07</v>
      </c>
      <c r="F1799" s="4" t="s">
        <v>9</v>
      </c>
      <c r="G1799" s="4" t="s">
        <v>1351</v>
      </c>
      <c r="H1799" s="6" t="s">
        <v>11</v>
      </c>
    </row>
    <row r="1800" spans="1:8" x14ac:dyDescent="0.25">
      <c r="A1800" s="4" t="str">
        <f>"CHOPE IGNORUS - LA BELLE DE JOUR -400ML "</f>
        <v xml:space="preserve">CHOPE IGNORUS - LA BELLE DE JOUR -400ML </v>
      </c>
      <c r="B1800" s="4" t="s">
        <v>12</v>
      </c>
      <c r="C1800" s="5">
        <v>25</v>
      </c>
      <c r="D1800" s="5">
        <v>6.76</v>
      </c>
      <c r="F1800" s="4" t="s">
        <v>9</v>
      </c>
      <c r="G1800" s="4" t="s">
        <v>1352</v>
      </c>
      <c r="H1800" s="6" t="s">
        <v>11</v>
      </c>
    </row>
    <row r="1801" spans="1:8" x14ac:dyDescent="0.25">
      <c r="A1801" s="4" t="s">
        <v>1353</v>
      </c>
      <c r="B1801" s="4" t="s">
        <v>12</v>
      </c>
      <c r="C1801" s="5">
        <v>20</v>
      </c>
      <c r="D1801" s="5">
        <v>5.55</v>
      </c>
      <c r="F1801" s="4" t="s">
        <v>9</v>
      </c>
      <c r="G1801" s="4" t="s">
        <v>1354</v>
      </c>
      <c r="H1801" s="6" t="s">
        <v>11</v>
      </c>
    </row>
    <row r="1802" spans="1:8" x14ac:dyDescent="0.25">
      <c r="A1802" s="4" t="s">
        <v>1355</v>
      </c>
      <c r="B1802" s="4" t="s">
        <v>12</v>
      </c>
      <c r="C1802" s="5">
        <v>25</v>
      </c>
      <c r="D1802" s="5">
        <v>7.4</v>
      </c>
      <c r="F1802" s="4" t="s">
        <v>9</v>
      </c>
      <c r="G1802" s="4" t="s">
        <v>1356</v>
      </c>
      <c r="H1802" s="6" t="s">
        <v>11</v>
      </c>
    </row>
    <row r="1803" spans="1:8" x14ac:dyDescent="0.25">
      <c r="A1803" s="4" t="s">
        <v>1358</v>
      </c>
      <c r="B1803" s="4" t="s">
        <v>12</v>
      </c>
      <c r="C1803" s="5">
        <v>20</v>
      </c>
      <c r="D1803" s="5">
        <v>7.53</v>
      </c>
      <c r="F1803" s="4" t="s">
        <v>9</v>
      </c>
      <c r="G1803" s="4" t="s">
        <v>1359</v>
      </c>
      <c r="H1803" s="6" t="s">
        <v>11</v>
      </c>
    </row>
    <row r="1804" spans="1:8" x14ac:dyDescent="0.25">
      <c r="A1804" s="4" t="str">
        <f>"CHOPE IGNORUS - TROPICAL THUNDER  400ML "</f>
        <v xml:space="preserve">CHOPE IGNORUS - TROPICAL THUNDER  400ML </v>
      </c>
      <c r="B1804" s="4" t="s">
        <v>12</v>
      </c>
      <c r="C1804" s="5">
        <v>25</v>
      </c>
      <c r="D1804" s="5">
        <v>10.039999999999999</v>
      </c>
      <c r="F1804" s="4" t="s">
        <v>9</v>
      </c>
      <c r="G1804" s="4" t="s">
        <v>1360</v>
      </c>
      <c r="H1804" s="6" t="s">
        <v>11</v>
      </c>
    </row>
    <row r="1805" spans="1:8" x14ac:dyDescent="0.25">
      <c r="A1805" s="4" t="str">
        <f>"CHOPE IGNORUS - TRYNYTY  300ML "</f>
        <v xml:space="preserve">CHOPE IGNORUS - TRYNYTY  300ML </v>
      </c>
      <c r="B1805" s="4" t="s">
        <v>12</v>
      </c>
      <c r="C1805" s="5">
        <v>25</v>
      </c>
      <c r="D1805" s="5">
        <v>8.9700000000000006</v>
      </c>
      <c r="F1805" s="4" t="s">
        <v>9</v>
      </c>
      <c r="G1805" s="4" t="s">
        <v>1362</v>
      </c>
      <c r="H1805" s="6" t="s">
        <v>11</v>
      </c>
    </row>
    <row r="1806" spans="1:8" x14ac:dyDescent="0.25">
      <c r="A1806" s="4" t="s">
        <v>1363</v>
      </c>
      <c r="B1806" s="4" t="s">
        <v>12</v>
      </c>
      <c r="C1806" s="5">
        <v>30</v>
      </c>
      <c r="D1806" s="5">
        <v>11.96</v>
      </c>
      <c r="F1806" s="4" t="s">
        <v>9</v>
      </c>
      <c r="G1806" s="4" t="s">
        <v>1364</v>
      </c>
      <c r="H1806" s="6" t="s">
        <v>11</v>
      </c>
    </row>
    <row r="1807" spans="1:8" x14ac:dyDescent="0.25">
      <c r="A1807" s="4" t="str">
        <f>"CHOPE IGNORUS CANIS MARJORIS DOUBLE IPA 300ML "</f>
        <v xml:space="preserve">CHOPE IGNORUS CANIS MARJORIS DOUBLE IPA 300ML </v>
      </c>
      <c r="B1807" s="4" t="s">
        <v>12</v>
      </c>
      <c r="C1807" s="5">
        <v>20</v>
      </c>
      <c r="D1807" s="5">
        <v>6.87</v>
      </c>
      <c r="F1807" s="4" t="s">
        <v>9</v>
      </c>
      <c r="G1807" s="4" t="s">
        <v>1367</v>
      </c>
      <c r="H1807" s="6" t="s">
        <v>11</v>
      </c>
    </row>
    <row r="1808" spans="1:8" x14ac:dyDescent="0.25">
      <c r="A1808" s="4" t="s">
        <v>1368</v>
      </c>
      <c r="B1808" s="4" t="s">
        <v>12</v>
      </c>
      <c r="C1808" s="5">
        <v>25</v>
      </c>
      <c r="D1808" s="5">
        <v>9.16</v>
      </c>
      <c r="F1808" s="4" t="s">
        <v>9</v>
      </c>
      <c r="G1808" s="4" t="s">
        <v>1369</v>
      </c>
      <c r="H1808" s="6" t="s">
        <v>11</v>
      </c>
    </row>
    <row r="1809" spans="1:8" x14ac:dyDescent="0.25">
      <c r="A1809" s="4" t="s">
        <v>1370</v>
      </c>
      <c r="B1809" s="4" t="s">
        <v>12</v>
      </c>
      <c r="C1809" s="5">
        <v>30</v>
      </c>
      <c r="D1809" s="5">
        <v>7.01</v>
      </c>
      <c r="F1809" s="4" t="s">
        <v>9</v>
      </c>
      <c r="G1809" s="4" t="s">
        <v>1371</v>
      </c>
      <c r="H1809" s="6" t="s">
        <v>11</v>
      </c>
    </row>
    <row r="1810" spans="1:8" x14ac:dyDescent="0.25">
      <c r="A1810" s="4" t="s">
        <v>1372</v>
      </c>
      <c r="B1810" s="4" t="s">
        <v>12</v>
      </c>
      <c r="C1810" s="5">
        <v>35</v>
      </c>
      <c r="D1810" s="5">
        <v>9.34</v>
      </c>
      <c r="F1810" s="4" t="s">
        <v>9</v>
      </c>
      <c r="G1810" s="4" t="s">
        <v>1373</v>
      </c>
      <c r="H1810" s="6" t="s">
        <v>11</v>
      </c>
    </row>
    <row r="1811" spans="1:8" x14ac:dyDescent="0.25">
      <c r="A1811" s="4" t="s">
        <v>1378</v>
      </c>
      <c r="B1811" s="4" t="s">
        <v>12</v>
      </c>
      <c r="C1811" s="5">
        <v>20</v>
      </c>
      <c r="D1811" s="5">
        <v>6.75</v>
      </c>
      <c r="F1811" s="4" t="s">
        <v>59</v>
      </c>
      <c r="G1811" s="4" t="s">
        <v>1379</v>
      </c>
      <c r="H1811" s="6" t="s">
        <v>11</v>
      </c>
    </row>
    <row r="1812" spans="1:8" x14ac:dyDescent="0.25">
      <c r="A1812" s="4" t="s">
        <v>1380</v>
      </c>
      <c r="B1812" s="4" t="s">
        <v>12</v>
      </c>
      <c r="C1812" s="5">
        <v>25</v>
      </c>
      <c r="D1812" s="5">
        <v>9</v>
      </c>
      <c r="F1812" s="4" t="s">
        <v>59</v>
      </c>
      <c r="G1812" s="4" t="s">
        <v>1381</v>
      </c>
      <c r="H1812" s="6" t="s">
        <v>11</v>
      </c>
    </row>
    <row r="1813" spans="1:8" x14ac:dyDescent="0.25">
      <c r="A1813" s="4" t="str">
        <f>"CHOPE IGNORUS TINHOSA SOUR  300ML "</f>
        <v xml:space="preserve">CHOPE IGNORUS TINHOSA SOUR  300ML </v>
      </c>
      <c r="B1813" s="4" t="s">
        <v>12</v>
      </c>
      <c r="C1813" s="5">
        <v>20</v>
      </c>
      <c r="D1813" s="5">
        <v>6.57</v>
      </c>
      <c r="F1813" s="4" t="s">
        <v>9</v>
      </c>
      <c r="G1813" s="4" t="s">
        <v>1382</v>
      </c>
      <c r="H1813" s="6" t="s">
        <v>11</v>
      </c>
    </row>
    <row r="1814" spans="1:8" x14ac:dyDescent="0.25">
      <c r="A1814" s="4" t="s">
        <v>1383</v>
      </c>
      <c r="B1814" s="4" t="s">
        <v>12</v>
      </c>
      <c r="C1814" s="5">
        <v>25</v>
      </c>
      <c r="D1814" s="5">
        <v>6.57</v>
      </c>
      <c r="F1814" s="4" t="s">
        <v>9</v>
      </c>
      <c r="G1814" s="4" t="s">
        <v>1384</v>
      </c>
      <c r="H1814" s="6" t="s">
        <v>11</v>
      </c>
    </row>
    <row r="1815" spans="1:8" x14ac:dyDescent="0.25">
      <c r="A1815" s="4" t="s">
        <v>1387</v>
      </c>
      <c r="B1815" s="4" t="s">
        <v>12</v>
      </c>
      <c r="C1815" s="5">
        <v>25</v>
      </c>
      <c r="D1815" s="5">
        <v>7.01</v>
      </c>
      <c r="F1815" s="4" t="s">
        <v>9</v>
      </c>
      <c r="G1815" s="4" t="s">
        <v>1388</v>
      </c>
      <c r="H1815" s="6" t="s">
        <v>11</v>
      </c>
    </row>
    <row r="1816" spans="1:8" x14ac:dyDescent="0.25">
      <c r="A1816" s="4" t="s">
        <v>1389</v>
      </c>
      <c r="B1816" s="4" t="s">
        <v>12</v>
      </c>
      <c r="C1816" s="5">
        <v>30</v>
      </c>
      <c r="D1816" s="5">
        <v>9.34</v>
      </c>
      <c r="F1816" s="4" t="s">
        <v>9</v>
      </c>
      <c r="G1816" s="4" t="s">
        <v>1390</v>
      </c>
      <c r="H1816" s="6" t="s">
        <v>11</v>
      </c>
    </row>
    <row r="1817" spans="1:8" x14ac:dyDescent="0.25">
      <c r="A1817" s="4" t="str">
        <f>"CHOPE IGUASSU MOONBOW- 300ML "</f>
        <v xml:space="preserve">CHOPE IGUASSU MOONBOW- 300ML </v>
      </c>
      <c r="B1817" s="4" t="s">
        <v>12</v>
      </c>
      <c r="C1817" s="5">
        <v>20</v>
      </c>
      <c r="D1817" s="5">
        <v>0.09</v>
      </c>
      <c r="F1817" s="4" t="s">
        <v>9</v>
      </c>
      <c r="G1817" s="4" t="s">
        <v>1393</v>
      </c>
      <c r="H1817" s="6" t="s">
        <v>11</v>
      </c>
    </row>
    <row r="1818" spans="1:8" x14ac:dyDescent="0.25">
      <c r="A1818" s="4" t="str">
        <f>"CHOPE IGUASSU MOONBOW- 400ML "</f>
        <v xml:space="preserve">CHOPE IGUASSU MOONBOW- 400ML </v>
      </c>
      <c r="B1818" s="4" t="s">
        <v>12</v>
      </c>
      <c r="C1818" s="5">
        <v>25</v>
      </c>
      <c r="D1818" s="5">
        <v>1.2</v>
      </c>
      <c r="F1818" s="4" t="s">
        <v>9</v>
      </c>
      <c r="G1818" s="4" t="s">
        <v>1394</v>
      </c>
      <c r="H1818" s="6" t="s">
        <v>11</v>
      </c>
    </row>
    <row r="1819" spans="1:8" x14ac:dyDescent="0.25">
      <c r="A1819" s="4" t="str">
        <f>"CHOPE IMPERIAL CATHARINA FRUTAS VERMELHAS 300ML "</f>
        <v xml:space="preserve">CHOPE IMPERIAL CATHARINA FRUTAS VERMELHAS 300ML </v>
      </c>
      <c r="B1819" s="4" t="s">
        <v>12</v>
      </c>
      <c r="C1819" s="5">
        <v>20</v>
      </c>
      <c r="F1819" s="4" t="s">
        <v>9</v>
      </c>
      <c r="G1819" s="4" t="s">
        <v>1395</v>
      </c>
      <c r="H1819" s="6" t="s">
        <v>11</v>
      </c>
    </row>
    <row r="1820" spans="1:8" x14ac:dyDescent="0.25">
      <c r="A1820" s="4" t="s">
        <v>1396</v>
      </c>
      <c r="B1820" s="4" t="s">
        <v>12</v>
      </c>
      <c r="C1820" s="5">
        <v>25</v>
      </c>
      <c r="F1820" s="4" t="s">
        <v>9</v>
      </c>
      <c r="G1820" s="4" t="s">
        <v>1397</v>
      </c>
      <c r="H1820" s="6" t="s">
        <v>11</v>
      </c>
    </row>
    <row r="1821" spans="1:8" x14ac:dyDescent="0.25">
      <c r="A1821" s="4" t="s">
        <v>1399</v>
      </c>
      <c r="B1821" s="4" t="s">
        <v>12</v>
      </c>
      <c r="C1821" s="5">
        <v>20</v>
      </c>
      <c r="D1821" s="5">
        <v>5.0999999999999996</v>
      </c>
      <c r="F1821" s="4" t="s">
        <v>9</v>
      </c>
      <c r="G1821" s="4" t="s">
        <v>1400</v>
      </c>
      <c r="H1821" s="6" t="s">
        <v>11</v>
      </c>
    </row>
    <row r="1822" spans="1:8" x14ac:dyDescent="0.25">
      <c r="A1822" s="4" t="str">
        <f>"CHOPE IMPERIAL RED ALE - 400ML "</f>
        <v xml:space="preserve">CHOPE IMPERIAL RED ALE - 400ML </v>
      </c>
      <c r="B1822" s="4" t="s">
        <v>12</v>
      </c>
      <c r="C1822" s="5">
        <v>25</v>
      </c>
      <c r="D1822" s="5">
        <v>6.8</v>
      </c>
      <c r="F1822" s="4" t="s">
        <v>9</v>
      </c>
      <c r="G1822" s="4" t="s">
        <v>1401</v>
      </c>
      <c r="H1822" s="6" t="s">
        <v>11</v>
      </c>
    </row>
    <row r="1823" spans="1:8" x14ac:dyDescent="0.25">
      <c r="A1823" s="4" t="s">
        <v>1402</v>
      </c>
      <c r="B1823" s="4" t="s">
        <v>12</v>
      </c>
      <c r="C1823" s="5">
        <v>20</v>
      </c>
      <c r="F1823" s="4" t="s">
        <v>9</v>
      </c>
      <c r="G1823" s="4" t="s">
        <v>1403</v>
      </c>
      <c r="H1823" s="6" t="s">
        <v>11</v>
      </c>
    </row>
    <row r="1824" spans="1:8" x14ac:dyDescent="0.25">
      <c r="A1824" s="4" t="s">
        <v>1404</v>
      </c>
      <c r="B1824" s="4" t="s">
        <v>12</v>
      </c>
      <c r="C1824" s="5">
        <v>25</v>
      </c>
      <c r="F1824" s="4" t="s">
        <v>9</v>
      </c>
      <c r="G1824" s="4" t="s">
        <v>1405</v>
      </c>
      <c r="H1824" s="6" t="s">
        <v>11</v>
      </c>
    </row>
    <row r="1825" spans="1:8" x14ac:dyDescent="0.25">
      <c r="A1825" s="4" t="str">
        <f>"CHOPE IMPERIAL SOUR UVA  300ML "</f>
        <v xml:space="preserve">CHOPE IMPERIAL SOUR UVA  300ML </v>
      </c>
      <c r="B1825" s="4" t="s">
        <v>12</v>
      </c>
      <c r="C1825" s="5">
        <v>20</v>
      </c>
      <c r="D1825" s="5">
        <v>6.15</v>
      </c>
      <c r="F1825" s="4" t="s">
        <v>9</v>
      </c>
      <c r="G1825" s="4" t="s">
        <v>1407</v>
      </c>
      <c r="H1825" s="6" t="s">
        <v>11</v>
      </c>
    </row>
    <row r="1826" spans="1:8" x14ac:dyDescent="0.25">
      <c r="A1826" s="4" t="str">
        <f>"CHOPE IMPERIAL SOUR UVA  400ML "</f>
        <v xml:space="preserve">CHOPE IMPERIAL SOUR UVA  400ML </v>
      </c>
      <c r="B1826" s="4" t="s">
        <v>12</v>
      </c>
      <c r="C1826" s="5">
        <v>20</v>
      </c>
      <c r="D1826" s="5">
        <v>8.1999999999999993</v>
      </c>
      <c r="F1826" s="4" t="s">
        <v>9</v>
      </c>
      <c r="G1826" s="4" t="s">
        <v>1408</v>
      </c>
      <c r="H1826" s="6" t="s">
        <v>11</v>
      </c>
    </row>
    <row r="1827" spans="1:8" x14ac:dyDescent="0.25">
      <c r="A1827" s="4" t="s">
        <v>1409</v>
      </c>
      <c r="B1827" s="4" t="s">
        <v>12</v>
      </c>
      <c r="C1827" s="5">
        <v>20</v>
      </c>
      <c r="D1827" s="5">
        <v>4.53</v>
      </c>
      <c r="F1827" s="4" t="s">
        <v>9</v>
      </c>
      <c r="G1827" s="4" t="s">
        <v>1410</v>
      </c>
      <c r="H1827" s="6" t="s">
        <v>11</v>
      </c>
    </row>
    <row r="1828" spans="1:8" x14ac:dyDescent="0.25">
      <c r="A1828" s="4" t="str">
        <f>"CHOPE INSANNISTOCK -400ML "</f>
        <v xml:space="preserve">CHOPE INSANNISTOCK -400ML </v>
      </c>
      <c r="B1828" s="4" t="s">
        <v>12</v>
      </c>
      <c r="C1828" s="5">
        <v>25</v>
      </c>
      <c r="D1828" s="5">
        <v>6.04</v>
      </c>
      <c r="F1828" s="4" t="s">
        <v>9</v>
      </c>
      <c r="G1828" s="4" t="s">
        <v>1411</v>
      </c>
      <c r="H1828" s="6" t="s">
        <v>11</v>
      </c>
    </row>
    <row r="1829" spans="1:8" x14ac:dyDescent="0.25">
      <c r="A1829" s="4" t="s">
        <v>1413</v>
      </c>
      <c r="B1829" s="4" t="s">
        <v>12</v>
      </c>
      <c r="C1829" s="5">
        <v>20</v>
      </c>
      <c r="D1829" s="5">
        <v>4.55</v>
      </c>
      <c r="F1829" s="4" t="s">
        <v>9</v>
      </c>
      <c r="G1829" s="4" t="s">
        <v>1414</v>
      </c>
      <c r="H1829" s="6" t="s">
        <v>11</v>
      </c>
    </row>
    <row r="1830" spans="1:8" x14ac:dyDescent="0.25">
      <c r="A1830" s="4" t="str">
        <f>"CHOPE INTERCEPTOR - 400ML "</f>
        <v xml:space="preserve">CHOPE INTERCEPTOR - 400ML </v>
      </c>
      <c r="B1830" s="4" t="s">
        <v>12</v>
      </c>
      <c r="C1830" s="5">
        <v>25</v>
      </c>
      <c r="D1830" s="5">
        <v>6.06</v>
      </c>
      <c r="F1830" s="4" t="s">
        <v>9</v>
      </c>
      <c r="G1830" s="4" t="s">
        <v>1415</v>
      </c>
      <c r="H1830" s="6" t="s">
        <v>11</v>
      </c>
    </row>
    <row r="1831" spans="1:8" x14ac:dyDescent="0.25">
      <c r="A1831" s="4" t="str">
        <f>"CHOPE INTI  - 300ML "</f>
        <v xml:space="preserve">CHOPE INTI  - 300ML </v>
      </c>
      <c r="B1831" s="4" t="s">
        <v>12</v>
      </c>
      <c r="C1831" s="5">
        <v>25</v>
      </c>
      <c r="D1831" s="5">
        <v>2.89</v>
      </c>
      <c r="F1831" s="4" t="s">
        <v>9</v>
      </c>
      <c r="G1831" s="4" t="s">
        <v>1417</v>
      </c>
      <c r="H1831" s="6" t="s">
        <v>11</v>
      </c>
    </row>
    <row r="1832" spans="1:8" x14ac:dyDescent="0.25">
      <c r="A1832" s="4" t="str">
        <f>"CHOPE INTI  - 400ML "</f>
        <v xml:space="preserve">CHOPE INTI  - 400ML </v>
      </c>
      <c r="B1832" s="4" t="s">
        <v>12</v>
      </c>
      <c r="C1832" s="5">
        <v>30</v>
      </c>
      <c r="D1832" s="5">
        <v>3.86</v>
      </c>
      <c r="F1832" s="4" t="s">
        <v>9</v>
      </c>
      <c r="G1832" s="4" t="s">
        <v>1418</v>
      </c>
      <c r="H1832" s="6" t="s">
        <v>11</v>
      </c>
    </row>
    <row r="1833" spans="1:8" x14ac:dyDescent="0.25">
      <c r="A1833" s="4" t="str">
        <f>"CHOPE IRADA DOUBLE IPA -300ML "</f>
        <v xml:space="preserve">CHOPE IRADA DOUBLE IPA -300ML </v>
      </c>
      <c r="B1833" s="4" t="s">
        <v>12</v>
      </c>
      <c r="C1833" s="5">
        <v>20</v>
      </c>
      <c r="D1833" s="5">
        <v>7.05</v>
      </c>
      <c r="F1833" s="4" t="s">
        <v>9</v>
      </c>
      <c r="G1833" s="4" t="s">
        <v>1421</v>
      </c>
      <c r="H1833" s="6" t="s">
        <v>11</v>
      </c>
    </row>
    <row r="1834" spans="1:8" x14ac:dyDescent="0.25">
      <c r="A1834" s="4" t="str">
        <f>"CHOPE IRADA DOUBLE IPA -400ML "</f>
        <v xml:space="preserve">CHOPE IRADA DOUBLE IPA -400ML </v>
      </c>
      <c r="B1834" s="4" t="s">
        <v>12</v>
      </c>
      <c r="C1834" s="5">
        <v>25</v>
      </c>
      <c r="D1834" s="5">
        <v>9.4</v>
      </c>
      <c r="F1834" s="4" t="s">
        <v>9</v>
      </c>
      <c r="G1834" s="4" t="s">
        <v>1422</v>
      </c>
      <c r="H1834" s="6" t="s">
        <v>11</v>
      </c>
    </row>
    <row r="1835" spans="1:8" x14ac:dyDescent="0.25">
      <c r="A1835" s="4" t="str">
        <f>"CHOPE IRONICA AMOR ÁCIDO - 300ML "</f>
        <v xml:space="preserve">CHOPE IRONICA AMOR ÁCIDO - 300ML </v>
      </c>
      <c r="B1835" s="4" t="s">
        <v>12</v>
      </c>
      <c r="C1835" s="5">
        <v>20</v>
      </c>
      <c r="D1835" s="5">
        <v>5.97</v>
      </c>
      <c r="F1835" s="4" t="s">
        <v>9</v>
      </c>
      <c r="G1835" s="4" t="s">
        <v>1423</v>
      </c>
      <c r="H1835" s="6" t="s">
        <v>11</v>
      </c>
    </row>
    <row r="1836" spans="1:8" x14ac:dyDescent="0.25">
      <c r="A1836" s="4" t="str">
        <f>"CHOPE IRONICA AMOR ÁCIDO - 400ML "</f>
        <v xml:space="preserve">CHOPE IRONICA AMOR ÁCIDO - 400ML </v>
      </c>
      <c r="B1836" s="4" t="s">
        <v>12</v>
      </c>
      <c r="C1836" s="5">
        <v>25</v>
      </c>
      <c r="D1836" s="5">
        <v>7.96</v>
      </c>
      <c r="F1836" s="4" t="s">
        <v>9</v>
      </c>
      <c r="G1836" s="4" t="s">
        <v>1424</v>
      </c>
      <c r="H1836" s="6" t="s">
        <v>11</v>
      </c>
    </row>
    <row r="1837" spans="1:8" x14ac:dyDescent="0.25">
      <c r="A1837" s="4" t="s">
        <v>1425</v>
      </c>
      <c r="B1837" s="4" t="s">
        <v>12</v>
      </c>
      <c r="C1837" s="5">
        <v>20</v>
      </c>
      <c r="D1837" s="5">
        <v>4.17</v>
      </c>
      <c r="F1837" s="4" t="s">
        <v>9</v>
      </c>
      <c r="G1837" s="4" t="s">
        <v>1426</v>
      </c>
      <c r="H1837" s="6" t="s">
        <v>11</v>
      </c>
    </row>
    <row r="1838" spans="1:8" x14ac:dyDescent="0.25">
      <c r="A1838" s="4" t="s">
        <v>1427</v>
      </c>
      <c r="B1838" s="4" t="s">
        <v>12</v>
      </c>
      <c r="C1838" s="5">
        <v>25</v>
      </c>
      <c r="D1838" s="5">
        <v>5.56</v>
      </c>
      <c r="F1838" s="4" t="s">
        <v>9</v>
      </c>
      <c r="G1838" s="4" t="s">
        <v>1428</v>
      </c>
      <c r="H1838" s="6" t="s">
        <v>11</v>
      </c>
    </row>
    <row r="1839" spans="1:8" x14ac:dyDescent="0.25">
      <c r="A1839" s="4" t="s">
        <v>1430</v>
      </c>
      <c r="B1839" s="4" t="s">
        <v>12</v>
      </c>
      <c r="C1839" s="5">
        <v>20</v>
      </c>
      <c r="D1839" s="5">
        <v>5.67</v>
      </c>
      <c r="F1839" s="4" t="s">
        <v>9</v>
      </c>
      <c r="G1839" s="4" t="s">
        <v>1431</v>
      </c>
      <c r="H1839" s="6" t="s">
        <v>11</v>
      </c>
    </row>
    <row r="1840" spans="1:8" x14ac:dyDescent="0.25">
      <c r="A1840" s="4" t="s">
        <v>1432</v>
      </c>
      <c r="B1840" s="4" t="s">
        <v>12</v>
      </c>
      <c r="C1840" s="5">
        <v>25</v>
      </c>
      <c r="D1840" s="5">
        <v>7.56</v>
      </c>
      <c r="F1840" s="4" t="s">
        <v>9</v>
      </c>
      <c r="G1840" s="4" t="s">
        <v>1433</v>
      </c>
      <c r="H1840" s="6" t="s">
        <v>11</v>
      </c>
    </row>
    <row r="1841" spans="1:8" x14ac:dyDescent="0.25">
      <c r="A1841" s="4" t="str">
        <f>"CHOPE IRONICA HOPLAND - 400ML "</f>
        <v xml:space="preserve">CHOPE IRONICA HOPLAND - 400ML </v>
      </c>
      <c r="B1841" s="4" t="s">
        <v>12</v>
      </c>
      <c r="C1841" s="5">
        <v>25</v>
      </c>
      <c r="D1841" s="5">
        <v>6.76</v>
      </c>
      <c r="F1841" s="4" t="s">
        <v>9</v>
      </c>
      <c r="G1841" s="4" t="s">
        <v>1436</v>
      </c>
      <c r="H1841" s="6" t="s">
        <v>11</v>
      </c>
    </row>
    <row r="1842" spans="1:8" x14ac:dyDescent="0.25">
      <c r="A1842" s="4" t="s">
        <v>1438</v>
      </c>
      <c r="B1842" s="4" t="s">
        <v>12</v>
      </c>
      <c r="C1842" s="5">
        <v>20</v>
      </c>
      <c r="D1842" s="5">
        <v>7.4</v>
      </c>
      <c r="F1842" s="4" t="s">
        <v>9</v>
      </c>
      <c r="G1842" s="4" t="s">
        <v>1439</v>
      </c>
      <c r="H1842" s="6" t="s">
        <v>11</v>
      </c>
    </row>
    <row r="1843" spans="1:8" x14ac:dyDescent="0.25">
      <c r="A1843" s="4" t="str">
        <f>"CHOPE ISSIE -400ML "</f>
        <v xml:space="preserve">CHOPE ISSIE -400ML </v>
      </c>
      <c r="B1843" s="4" t="s">
        <v>12</v>
      </c>
      <c r="C1843" s="5">
        <v>25</v>
      </c>
      <c r="D1843" s="5">
        <v>7.4</v>
      </c>
      <c r="F1843" s="4" t="s">
        <v>9</v>
      </c>
      <c r="G1843" s="4" t="s">
        <v>1440</v>
      </c>
      <c r="H1843" s="6" t="s">
        <v>11</v>
      </c>
    </row>
    <row r="1844" spans="1:8" x14ac:dyDescent="0.25">
      <c r="A1844" s="4" t="s">
        <v>1441</v>
      </c>
      <c r="B1844" s="4" t="s">
        <v>12</v>
      </c>
      <c r="C1844" s="5">
        <v>20</v>
      </c>
      <c r="D1844" s="5">
        <v>4.2</v>
      </c>
      <c r="F1844" s="4" t="s">
        <v>9</v>
      </c>
      <c r="G1844" s="4" t="s">
        <v>1442</v>
      </c>
      <c r="H1844" s="6" t="s">
        <v>11</v>
      </c>
    </row>
    <row r="1845" spans="1:8" x14ac:dyDescent="0.25">
      <c r="A1845" s="4" t="str">
        <f>"CHOPE JEAN LE BLANC - 400ML "</f>
        <v xml:space="preserve">CHOPE JEAN LE BLANC - 400ML </v>
      </c>
      <c r="B1845" s="4" t="s">
        <v>12</v>
      </c>
      <c r="C1845" s="5">
        <v>25</v>
      </c>
      <c r="D1845" s="5">
        <v>5.6</v>
      </c>
      <c r="F1845" s="4" t="s">
        <v>9</v>
      </c>
      <c r="G1845" s="4" t="s">
        <v>1443</v>
      </c>
      <c r="H1845" s="6" t="s">
        <v>11</v>
      </c>
    </row>
    <row r="1846" spans="1:8" x14ac:dyDescent="0.25">
      <c r="A1846" s="4" t="str">
        <f>"CHOPE JOY - BACK TO THE OLD -  300ML "</f>
        <v xml:space="preserve">CHOPE JOY - BACK TO THE OLD -  300ML </v>
      </c>
      <c r="B1846" s="4" t="s">
        <v>12</v>
      </c>
      <c r="C1846" s="5">
        <v>20</v>
      </c>
      <c r="D1846" s="5">
        <v>10</v>
      </c>
      <c r="F1846" s="4" t="s">
        <v>9</v>
      </c>
      <c r="G1846" s="4" t="s">
        <v>1444</v>
      </c>
      <c r="H1846" s="6" t="s">
        <v>11</v>
      </c>
    </row>
    <row r="1847" spans="1:8" x14ac:dyDescent="0.25">
      <c r="A1847" s="4" t="str">
        <f>"CHOPE JOY - BACK TO THE OLD - 400ML "</f>
        <v xml:space="preserve">CHOPE JOY - BACK TO THE OLD - 400ML </v>
      </c>
      <c r="B1847" s="4" t="s">
        <v>12</v>
      </c>
      <c r="C1847" s="5">
        <v>25</v>
      </c>
      <c r="D1847" s="5">
        <v>10</v>
      </c>
      <c r="F1847" s="4" t="s">
        <v>9</v>
      </c>
      <c r="G1847" s="4" t="s">
        <v>1445</v>
      </c>
      <c r="H1847" s="6" t="s">
        <v>11</v>
      </c>
    </row>
    <row r="1848" spans="1:8" x14ac:dyDescent="0.25">
      <c r="A1848" s="4" t="s">
        <v>1446</v>
      </c>
      <c r="B1848" s="4" t="s">
        <v>12</v>
      </c>
      <c r="C1848" s="5">
        <v>20</v>
      </c>
      <c r="D1848" s="5">
        <v>8</v>
      </c>
      <c r="F1848" s="4" t="s">
        <v>9</v>
      </c>
      <c r="G1848" s="4" t="s">
        <v>1447</v>
      </c>
      <c r="H1848" s="6" t="s">
        <v>11</v>
      </c>
    </row>
    <row r="1849" spans="1:8" x14ac:dyDescent="0.25">
      <c r="A1849" s="4" t="s">
        <v>1448</v>
      </c>
      <c r="B1849" s="4" t="s">
        <v>12</v>
      </c>
      <c r="C1849" s="5">
        <v>25</v>
      </c>
      <c r="D1849" s="5">
        <v>8</v>
      </c>
      <c r="F1849" s="4" t="s">
        <v>9</v>
      </c>
      <c r="G1849" s="4" t="s">
        <v>1449</v>
      </c>
      <c r="H1849" s="6" t="s">
        <v>11</v>
      </c>
    </row>
    <row r="1850" spans="1:8" x14ac:dyDescent="0.25">
      <c r="A1850" s="4" t="str">
        <f>"CHOPE JOY - FREE HUGS 300ML "</f>
        <v xml:space="preserve">CHOPE JOY - FREE HUGS 300ML </v>
      </c>
      <c r="B1850" s="4" t="s">
        <v>12</v>
      </c>
      <c r="C1850" s="5">
        <v>17</v>
      </c>
      <c r="D1850" s="5">
        <v>3</v>
      </c>
      <c r="F1850" s="4" t="s">
        <v>9</v>
      </c>
      <c r="G1850" s="4" t="s">
        <v>1450</v>
      </c>
      <c r="H1850" s="6" t="s">
        <v>11</v>
      </c>
    </row>
    <row r="1851" spans="1:8" x14ac:dyDescent="0.25">
      <c r="A1851" s="4" t="s">
        <v>1451</v>
      </c>
      <c r="B1851" s="4" t="s">
        <v>12</v>
      </c>
      <c r="C1851" s="5">
        <v>20</v>
      </c>
      <c r="D1851" s="5">
        <v>4</v>
      </c>
      <c r="F1851" s="4" t="s">
        <v>9</v>
      </c>
      <c r="G1851" s="4" t="s">
        <v>1452</v>
      </c>
      <c r="H1851" s="6" t="s">
        <v>11</v>
      </c>
    </row>
    <row r="1852" spans="1:8" x14ac:dyDescent="0.25">
      <c r="A1852" s="4" t="str">
        <f>"CHOPE JOY - GREEN LINE - 300ML "</f>
        <v xml:space="preserve">CHOPE JOY - GREEN LINE - 300ML </v>
      </c>
      <c r="B1852" s="4" t="s">
        <v>12</v>
      </c>
      <c r="C1852" s="5">
        <v>20</v>
      </c>
      <c r="D1852" s="5">
        <v>5.69</v>
      </c>
      <c r="F1852" s="4" t="s">
        <v>9</v>
      </c>
      <c r="G1852" s="4" t="s">
        <v>1453</v>
      </c>
      <c r="H1852" s="6" t="s">
        <v>11</v>
      </c>
    </row>
    <row r="1853" spans="1:8" x14ac:dyDescent="0.25">
      <c r="A1853" s="4" t="s">
        <v>1454</v>
      </c>
      <c r="B1853" s="4" t="s">
        <v>12</v>
      </c>
      <c r="C1853" s="5">
        <v>25</v>
      </c>
      <c r="D1853" s="5">
        <v>7.58</v>
      </c>
      <c r="F1853" s="4" t="s">
        <v>9</v>
      </c>
      <c r="G1853" s="4" t="s">
        <v>1455</v>
      </c>
      <c r="H1853" s="6" t="s">
        <v>11</v>
      </c>
    </row>
    <row r="1854" spans="1:8" x14ac:dyDescent="0.25">
      <c r="A1854" s="4" t="s">
        <v>1456</v>
      </c>
      <c r="B1854" s="4" t="s">
        <v>12</v>
      </c>
      <c r="C1854" s="5">
        <v>20</v>
      </c>
      <c r="D1854" s="5">
        <v>6.57</v>
      </c>
      <c r="F1854" s="4" t="s">
        <v>9</v>
      </c>
      <c r="G1854" s="4" t="s">
        <v>1457</v>
      </c>
      <c r="H1854" s="6" t="s">
        <v>11</v>
      </c>
    </row>
    <row r="1855" spans="1:8" x14ac:dyDescent="0.25">
      <c r="A1855" s="4" t="str">
        <f>"CHOPE JOY - LEARN TO FLY- 400ML "</f>
        <v xml:space="preserve">CHOPE JOY - LEARN TO FLY- 400ML </v>
      </c>
      <c r="B1855" s="4" t="s">
        <v>12</v>
      </c>
      <c r="C1855" s="5">
        <v>25</v>
      </c>
      <c r="D1855" s="5">
        <v>8.76</v>
      </c>
      <c r="F1855" s="4" t="s">
        <v>9</v>
      </c>
      <c r="G1855" s="4" t="s">
        <v>1458</v>
      </c>
      <c r="H1855" s="6" t="s">
        <v>11</v>
      </c>
    </row>
    <row r="1856" spans="1:8" x14ac:dyDescent="0.25">
      <c r="A1856" s="4" t="str">
        <f>"CHOPE JOY - SPRING BREEZE  300ML "</f>
        <v xml:space="preserve">CHOPE JOY - SPRING BREEZE  300ML </v>
      </c>
      <c r="B1856" s="4" t="s">
        <v>12</v>
      </c>
      <c r="C1856" s="5">
        <v>20</v>
      </c>
      <c r="D1856" s="5">
        <v>5.25</v>
      </c>
      <c r="F1856" s="4" t="s">
        <v>9</v>
      </c>
      <c r="G1856" s="4" t="s">
        <v>1459</v>
      </c>
      <c r="H1856" s="6" t="s">
        <v>11</v>
      </c>
    </row>
    <row r="1857" spans="1:8" x14ac:dyDescent="0.25">
      <c r="A1857" s="4" t="str">
        <f>"CHOPE JOY - SPRING BREEZE  400ML "</f>
        <v xml:space="preserve">CHOPE JOY - SPRING BREEZE  400ML </v>
      </c>
      <c r="B1857" s="4" t="s">
        <v>12</v>
      </c>
      <c r="C1857" s="5">
        <v>25</v>
      </c>
      <c r="D1857" s="5">
        <v>7</v>
      </c>
      <c r="F1857" s="4" t="s">
        <v>9</v>
      </c>
      <c r="G1857" s="4" t="s">
        <v>1460</v>
      </c>
      <c r="H1857" s="6" t="s">
        <v>11</v>
      </c>
    </row>
    <row r="1858" spans="1:8" x14ac:dyDescent="0.25">
      <c r="A1858" s="4" t="str">
        <f>"CHOPE JOY - THE SUN IS HIGH SO AM I - 300ML "</f>
        <v xml:space="preserve">CHOPE JOY - THE SUN IS HIGH SO AM I - 300ML </v>
      </c>
      <c r="B1858" s="4" t="s">
        <v>12</v>
      </c>
      <c r="C1858" s="5">
        <v>20</v>
      </c>
      <c r="D1858" s="5">
        <v>0.59</v>
      </c>
      <c r="F1858" s="4" t="s">
        <v>9</v>
      </c>
      <c r="G1858" s="4" t="s">
        <v>1461</v>
      </c>
      <c r="H1858" s="6" t="s">
        <v>11</v>
      </c>
    </row>
    <row r="1859" spans="1:8" x14ac:dyDescent="0.25">
      <c r="A1859" s="4" t="str">
        <f>"CHOPE JOY - THE SUN IS HIGH SO AM I - 400ML "</f>
        <v xml:space="preserve">CHOPE JOY - THE SUN IS HIGH SO AM I - 400ML </v>
      </c>
      <c r="B1859" s="4" t="s">
        <v>12</v>
      </c>
      <c r="C1859" s="5">
        <v>25</v>
      </c>
      <c r="D1859" s="5">
        <v>0.78</v>
      </c>
      <c r="F1859" s="4" t="s">
        <v>9</v>
      </c>
      <c r="G1859" s="4" t="s">
        <v>1462</v>
      </c>
      <c r="H1859" s="6" t="s">
        <v>11</v>
      </c>
    </row>
    <row r="1860" spans="1:8" x14ac:dyDescent="0.25">
      <c r="A1860" s="4" t="s">
        <v>1463</v>
      </c>
      <c r="B1860" s="4" t="s">
        <v>12</v>
      </c>
      <c r="C1860" s="5">
        <v>20</v>
      </c>
      <c r="D1860" s="5">
        <v>5.37</v>
      </c>
      <c r="F1860" s="4" t="s">
        <v>9</v>
      </c>
      <c r="G1860" s="4" t="s">
        <v>1464</v>
      </c>
      <c r="H1860" s="6" t="s">
        <v>11</v>
      </c>
    </row>
    <row r="1861" spans="1:8" x14ac:dyDescent="0.25">
      <c r="A1861" s="4" t="s">
        <v>1465</v>
      </c>
      <c r="B1861" s="4" t="s">
        <v>12</v>
      </c>
      <c r="C1861" s="5">
        <v>25</v>
      </c>
      <c r="D1861" s="5">
        <v>7.16</v>
      </c>
      <c r="F1861" s="4" t="s">
        <v>9</v>
      </c>
      <c r="G1861" s="4" t="s">
        <v>1466</v>
      </c>
      <c r="H1861" s="6" t="s">
        <v>11</v>
      </c>
    </row>
    <row r="1862" spans="1:8" x14ac:dyDescent="0.25">
      <c r="A1862" s="4" t="s">
        <v>1467</v>
      </c>
      <c r="B1862" s="4" t="s">
        <v>12</v>
      </c>
      <c r="C1862" s="5">
        <v>20</v>
      </c>
      <c r="D1862" s="5">
        <v>6.9</v>
      </c>
      <c r="F1862" s="4" t="s">
        <v>9</v>
      </c>
      <c r="G1862" s="4" t="s">
        <v>1468</v>
      </c>
      <c r="H1862" s="6" t="s">
        <v>11</v>
      </c>
    </row>
    <row r="1863" spans="1:8" x14ac:dyDescent="0.25">
      <c r="A1863" s="4" t="str">
        <f>"CHOPE JOY - UNDER CONFUSION 400ML "</f>
        <v xml:space="preserve">CHOPE JOY - UNDER CONFUSION 400ML </v>
      </c>
      <c r="B1863" s="4" t="s">
        <v>12</v>
      </c>
      <c r="C1863" s="5">
        <v>25</v>
      </c>
      <c r="D1863" s="5">
        <v>6.9</v>
      </c>
      <c r="F1863" s="4" t="s">
        <v>9</v>
      </c>
      <c r="G1863" s="4" t="s">
        <v>1469</v>
      </c>
      <c r="H1863" s="6" t="s">
        <v>11</v>
      </c>
    </row>
    <row r="1864" spans="1:8" x14ac:dyDescent="0.25">
      <c r="A1864" s="4" t="s">
        <v>1470</v>
      </c>
      <c r="B1864" s="4" t="s">
        <v>12</v>
      </c>
      <c r="C1864" s="5">
        <v>20</v>
      </c>
      <c r="D1864" s="5">
        <v>5.4</v>
      </c>
      <c r="F1864" s="4" t="s">
        <v>9</v>
      </c>
      <c r="G1864" s="4" t="s">
        <v>1471</v>
      </c>
      <c r="H1864" s="6" t="s">
        <v>11</v>
      </c>
    </row>
    <row r="1865" spans="1:8" x14ac:dyDescent="0.25">
      <c r="A1865" s="4" t="str">
        <f>"CHOPE JOY BRAIN BREEZE SOUR - 400ML "</f>
        <v xml:space="preserve">CHOPE JOY BRAIN BREEZE SOUR - 400ML </v>
      </c>
      <c r="B1865" s="4" t="s">
        <v>12</v>
      </c>
      <c r="C1865" s="5">
        <v>25</v>
      </c>
      <c r="D1865" s="5">
        <v>7.2</v>
      </c>
      <c r="F1865" s="4" t="s">
        <v>9</v>
      </c>
      <c r="G1865" s="4" t="s">
        <v>1472</v>
      </c>
      <c r="H1865" s="6" t="s">
        <v>11</v>
      </c>
    </row>
    <row r="1866" spans="1:8" x14ac:dyDescent="0.25">
      <c r="A1866" s="4" t="s">
        <v>1474</v>
      </c>
      <c r="B1866" s="4" t="s">
        <v>12</v>
      </c>
      <c r="C1866" s="5">
        <v>20</v>
      </c>
      <c r="D1866" s="5">
        <v>4.8</v>
      </c>
      <c r="F1866" s="4" t="s">
        <v>9</v>
      </c>
      <c r="G1866" s="4" t="s">
        <v>1475</v>
      </c>
      <c r="H1866" s="6" t="s">
        <v>11</v>
      </c>
    </row>
    <row r="1867" spans="1:8" x14ac:dyDescent="0.25">
      <c r="A1867" s="4" t="str">
        <f>"CHOPE JOY COFFE BREACK - 400ML "</f>
        <v xml:space="preserve">CHOPE JOY COFFE BREACK - 400ML </v>
      </c>
      <c r="B1867" s="4" t="s">
        <v>12</v>
      </c>
      <c r="C1867" s="5">
        <v>25</v>
      </c>
      <c r="D1867" s="5">
        <v>6.4</v>
      </c>
      <c r="F1867" s="4" t="s">
        <v>9</v>
      </c>
      <c r="G1867" s="4" t="s">
        <v>1476</v>
      </c>
      <c r="H1867" s="6" t="s">
        <v>11</v>
      </c>
    </row>
    <row r="1868" spans="1:8" x14ac:dyDescent="0.25">
      <c r="A1868" s="4" t="str">
        <f>"CHOPE JOY COFFEE ME UP NEIPA 300ML "</f>
        <v xml:space="preserve">CHOPE JOY COFFEE ME UP NEIPA 300ML </v>
      </c>
      <c r="B1868" s="4" t="s">
        <v>12</v>
      </c>
      <c r="C1868" s="5">
        <v>20</v>
      </c>
      <c r="D1868" s="5">
        <v>7.1</v>
      </c>
      <c r="F1868" s="4" t="s">
        <v>9</v>
      </c>
      <c r="G1868" s="4" t="s">
        <v>1478</v>
      </c>
      <c r="H1868" s="6" t="s">
        <v>11</v>
      </c>
    </row>
    <row r="1869" spans="1:8" x14ac:dyDescent="0.25">
      <c r="A1869" s="4" t="s">
        <v>1479</v>
      </c>
      <c r="B1869" s="4" t="s">
        <v>12</v>
      </c>
      <c r="C1869" s="5">
        <v>25</v>
      </c>
      <c r="D1869" s="5">
        <v>9.4600000000000009</v>
      </c>
      <c r="F1869" s="4" t="s">
        <v>9</v>
      </c>
      <c r="G1869" s="4" t="s">
        <v>1480</v>
      </c>
      <c r="H1869" s="6" t="s">
        <v>11</v>
      </c>
    </row>
    <row r="1870" spans="1:8" x14ac:dyDescent="0.25">
      <c r="A1870" s="4" t="s">
        <v>1483</v>
      </c>
      <c r="B1870" s="4" t="s">
        <v>12</v>
      </c>
      <c r="C1870" s="5">
        <v>20</v>
      </c>
      <c r="D1870" s="5">
        <v>6.86</v>
      </c>
      <c r="F1870" s="4" t="s">
        <v>9</v>
      </c>
      <c r="G1870" s="4" t="s">
        <v>1484</v>
      </c>
      <c r="H1870" s="6" t="s">
        <v>11</v>
      </c>
    </row>
    <row r="1871" spans="1:8" x14ac:dyDescent="0.25">
      <c r="A1871" s="4" t="s">
        <v>1485</v>
      </c>
      <c r="B1871" s="4" t="s">
        <v>12</v>
      </c>
      <c r="C1871" s="5">
        <v>25</v>
      </c>
      <c r="D1871" s="5">
        <v>9.14</v>
      </c>
      <c r="F1871" s="4" t="s">
        <v>9</v>
      </c>
      <c r="G1871" s="4" t="s">
        <v>1486</v>
      </c>
      <c r="H1871" s="6" t="s">
        <v>11</v>
      </c>
    </row>
    <row r="1872" spans="1:8" x14ac:dyDescent="0.25">
      <c r="A1872" s="4" t="s">
        <v>1488</v>
      </c>
      <c r="B1872" s="4" t="s">
        <v>12</v>
      </c>
      <c r="C1872" s="5">
        <v>20</v>
      </c>
      <c r="D1872" s="5">
        <v>6.87</v>
      </c>
      <c r="F1872" s="4" t="s">
        <v>9</v>
      </c>
      <c r="G1872" s="4" t="s">
        <v>1489</v>
      </c>
      <c r="H1872" s="6" t="s">
        <v>11</v>
      </c>
    </row>
    <row r="1873" spans="1:8" x14ac:dyDescent="0.25">
      <c r="A1873" s="4" t="s">
        <v>1490</v>
      </c>
      <c r="B1873" s="4" t="s">
        <v>12</v>
      </c>
      <c r="C1873" s="5">
        <v>25</v>
      </c>
      <c r="D1873" s="5">
        <v>9.16</v>
      </c>
      <c r="F1873" s="4" t="s">
        <v>9</v>
      </c>
      <c r="G1873" s="4" t="s">
        <v>1491</v>
      </c>
      <c r="H1873" s="6" t="s">
        <v>11</v>
      </c>
    </row>
    <row r="1874" spans="1:8" x14ac:dyDescent="0.25">
      <c r="A1874" s="4" t="s">
        <v>1493</v>
      </c>
      <c r="B1874" s="4" t="s">
        <v>12</v>
      </c>
      <c r="C1874" s="5">
        <v>35</v>
      </c>
      <c r="D1874" s="5">
        <v>7.5</v>
      </c>
      <c r="F1874" s="4" t="s">
        <v>9</v>
      </c>
      <c r="G1874" s="4" t="s">
        <v>1494</v>
      </c>
      <c r="H1874" s="6" t="s">
        <v>11</v>
      </c>
    </row>
    <row r="1875" spans="1:8" x14ac:dyDescent="0.25">
      <c r="A1875" s="4" t="s">
        <v>1495</v>
      </c>
      <c r="B1875" s="4" t="s">
        <v>12</v>
      </c>
      <c r="C1875" s="5">
        <v>30</v>
      </c>
      <c r="D1875" s="5">
        <v>6.6</v>
      </c>
      <c r="F1875" s="4" t="s">
        <v>9</v>
      </c>
      <c r="G1875" s="4" t="s">
        <v>1496</v>
      </c>
      <c r="H1875" s="6" t="s">
        <v>11</v>
      </c>
    </row>
    <row r="1876" spans="1:8" x14ac:dyDescent="0.25">
      <c r="A1876" s="4" t="s">
        <v>1497</v>
      </c>
      <c r="B1876" s="4" t="s">
        <v>12</v>
      </c>
      <c r="C1876" s="5">
        <v>35</v>
      </c>
      <c r="D1876" s="5">
        <v>8.8000000000000007</v>
      </c>
      <c r="F1876" s="4" t="s">
        <v>9</v>
      </c>
      <c r="G1876" s="4" t="s">
        <v>1498</v>
      </c>
      <c r="H1876" s="6" t="s">
        <v>11</v>
      </c>
    </row>
    <row r="1877" spans="1:8" x14ac:dyDescent="0.25">
      <c r="A1877" s="4" t="str">
        <f>"CHOPE JOY SITUS SIMCOE DOUBLE IPA 300ML "</f>
        <v xml:space="preserve">CHOPE JOY SITUS SIMCOE DOUBLE IPA 300ML </v>
      </c>
      <c r="B1877" s="4" t="s">
        <v>12</v>
      </c>
      <c r="C1877" s="5">
        <v>20</v>
      </c>
      <c r="D1877" s="5">
        <v>5.7</v>
      </c>
      <c r="F1877" s="4" t="s">
        <v>9</v>
      </c>
      <c r="G1877" s="4" t="s">
        <v>1500</v>
      </c>
      <c r="H1877" s="6" t="s">
        <v>11</v>
      </c>
    </row>
    <row r="1878" spans="1:8" x14ac:dyDescent="0.25">
      <c r="A1878" s="4" t="s">
        <v>1501</v>
      </c>
      <c r="B1878" s="4" t="s">
        <v>12</v>
      </c>
      <c r="C1878" s="5">
        <v>25</v>
      </c>
      <c r="D1878" s="5">
        <v>7.6</v>
      </c>
      <c r="F1878" s="4" t="s">
        <v>9</v>
      </c>
      <c r="G1878" s="4" t="s">
        <v>1502</v>
      </c>
      <c r="H1878" s="6" t="s">
        <v>11</v>
      </c>
    </row>
    <row r="1879" spans="1:8" x14ac:dyDescent="0.25">
      <c r="A1879" s="4" t="s">
        <v>1503</v>
      </c>
      <c r="B1879" s="4" t="s">
        <v>12</v>
      </c>
      <c r="C1879" s="5">
        <v>20</v>
      </c>
      <c r="D1879" s="5">
        <v>4.2</v>
      </c>
      <c r="F1879" s="4" t="s">
        <v>9</v>
      </c>
      <c r="G1879" s="4" t="s">
        <v>1504</v>
      </c>
      <c r="H1879" s="6" t="s">
        <v>11</v>
      </c>
    </row>
    <row r="1880" spans="1:8" x14ac:dyDescent="0.25">
      <c r="A1880" s="4" t="str">
        <f>"CHOPE JOY WORKING CLASS HERO - DARK MILD - 400ML "</f>
        <v xml:space="preserve">CHOPE JOY WORKING CLASS HERO - DARK MILD - 400ML </v>
      </c>
      <c r="B1880" s="4" t="s">
        <v>12</v>
      </c>
      <c r="C1880" s="5">
        <v>25</v>
      </c>
      <c r="D1880" s="5">
        <v>5.6</v>
      </c>
      <c r="F1880" s="4" t="s">
        <v>9</v>
      </c>
      <c r="G1880" s="4" t="s">
        <v>1505</v>
      </c>
      <c r="H1880" s="6" t="s">
        <v>11</v>
      </c>
    </row>
    <row r="1881" spans="1:8" x14ac:dyDescent="0.25">
      <c r="A1881" s="4" t="s">
        <v>1507</v>
      </c>
      <c r="B1881" s="4" t="s">
        <v>12</v>
      </c>
      <c r="C1881" s="5">
        <v>20</v>
      </c>
      <c r="D1881" s="5">
        <v>6.6</v>
      </c>
      <c r="F1881" s="4" t="s">
        <v>9</v>
      </c>
      <c r="G1881" s="4" t="s">
        <v>1508</v>
      </c>
      <c r="H1881" s="6" t="s">
        <v>11</v>
      </c>
    </row>
    <row r="1882" spans="1:8" x14ac:dyDescent="0.25">
      <c r="A1882" s="4" t="str">
        <f>"CHOPE JOY YOU MUST BE HIGH - 400ML "</f>
        <v xml:space="preserve">CHOPE JOY YOU MUST BE HIGH - 400ML </v>
      </c>
      <c r="B1882" s="4" t="s">
        <v>12</v>
      </c>
      <c r="C1882" s="5">
        <v>25</v>
      </c>
      <c r="D1882" s="5">
        <v>8.8000000000000007</v>
      </c>
      <c r="F1882" s="4" t="s">
        <v>9</v>
      </c>
      <c r="G1882" s="4" t="s">
        <v>1509</v>
      </c>
      <c r="H1882" s="6" t="s">
        <v>11</v>
      </c>
    </row>
    <row r="1883" spans="1:8" x14ac:dyDescent="0.25">
      <c r="A1883" s="4" t="s">
        <v>1510</v>
      </c>
      <c r="B1883" s="4" t="s">
        <v>12</v>
      </c>
      <c r="C1883" s="5">
        <v>20</v>
      </c>
      <c r="D1883" s="5">
        <v>9.6</v>
      </c>
      <c r="F1883" s="4" t="s">
        <v>9</v>
      </c>
      <c r="G1883" s="4" t="s">
        <v>1511</v>
      </c>
      <c r="H1883" s="6" t="s">
        <v>11</v>
      </c>
    </row>
    <row r="1884" spans="1:8" x14ac:dyDescent="0.25">
      <c r="A1884" s="4" t="str">
        <f>"CHOPE JUICED - 400ML "</f>
        <v xml:space="preserve">CHOPE JUICED - 400ML </v>
      </c>
      <c r="B1884" s="4" t="s">
        <v>12</v>
      </c>
      <c r="C1884" s="5">
        <v>25</v>
      </c>
      <c r="D1884" s="5">
        <v>9.6</v>
      </c>
      <c r="F1884" s="4" t="s">
        <v>9</v>
      </c>
      <c r="G1884" s="4" t="s">
        <v>1512</v>
      </c>
      <c r="H1884" s="6" t="s">
        <v>11</v>
      </c>
    </row>
    <row r="1885" spans="1:8" x14ac:dyDescent="0.25">
      <c r="A1885" s="4" t="s">
        <v>1515</v>
      </c>
      <c r="B1885" s="4" t="s">
        <v>12</v>
      </c>
      <c r="C1885" s="5">
        <v>20</v>
      </c>
      <c r="D1885" s="5">
        <v>5.12</v>
      </c>
      <c r="F1885" s="4" t="s">
        <v>9</v>
      </c>
      <c r="G1885" s="4" t="s">
        <v>1516</v>
      </c>
      <c r="H1885" s="6" t="s">
        <v>11</v>
      </c>
    </row>
    <row r="1886" spans="1:8" x14ac:dyDescent="0.25">
      <c r="A1886" s="4" t="s">
        <v>1517</v>
      </c>
      <c r="B1886" s="4" t="s">
        <v>12</v>
      </c>
      <c r="C1886" s="5">
        <v>25</v>
      </c>
      <c r="D1886" s="5">
        <v>6.83</v>
      </c>
      <c r="F1886" s="4" t="s">
        <v>9</v>
      </c>
      <c r="G1886" s="4" t="s">
        <v>1518</v>
      </c>
      <c r="H1886" s="6" t="s">
        <v>11</v>
      </c>
    </row>
    <row r="1887" spans="1:8" x14ac:dyDescent="0.25">
      <c r="A1887" s="4" t="s">
        <v>1519</v>
      </c>
      <c r="B1887" s="4" t="s">
        <v>12</v>
      </c>
      <c r="C1887" s="5">
        <v>20</v>
      </c>
      <c r="D1887" s="5">
        <v>6</v>
      </c>
      <c r="F1887" s="4" t="s">
        <v>9</v>
      </c>
      <c r="G1887" s="4" t="s">
        <v>1520</v>
      </c>
      <c r="H1887" s="6" t="s">
        <v>11</v>
      </c>
    </row>
    <row r="1888" spans="1:8" x14ac:dyDescent="0.25">
      <c r="A1888" s="4" t="str">
        <f>"CHOPE JUNGLE BREEZE- 400ML "</f>
        <v xml:space="preserve">CHOPE JUNGLE BREEZE- 400ML </v>
      </c>
      <c r="B1888" s="4" t="s">
        <v>12</v>
      </c>
      <c r="C1888" s="5">
        <v>25</v>
      </c>
      <c r="D1888" s="5">
        <v>8</v>
      </c>
      <c r="F1888" s="4" t="s">
        <v>9</v>
      </c>
      <c r="G1888" s="4" t="s">
        <v>1521</v>
      </c>
      <c r="H1888" s="6" t="s">
        <v>11</v>
      </c>
    </row>
    <row r="1889" spans="1:8" x14ac:dyDescent="0.25">
      <c r="A1889" s="4" t="str">
        <f>"CHOPE KAIOWAS -300ML "</f>
        <v xml:space="preserve">CHOPE KAIOWAS -300ML </v>
      </c>
      <c r="B1889" s="4" t="s">
        <v>12</v>
      </c>
      <c r="C1889" s="5">
        <v>20</v>
      </c>
      <c r="D1889" s="5">
        <v>7.17</v>
      </c>
      <c r="F1889" s="4" t="s">
        <v>9</v>
      </c>
      <c r="G1889" s="4" t="s">
        <v>1525</v>
      </c>
      <c r="H1889" s="6" t="s">
        <v>11</v>
      </c>
    </row>
    <row r="1890" spans="1:8" x14ac:dyDescent="0.25">
      <c r="A1890" s="4" t="str">
        <f>"CHOPE KAIOWAS -400ML "</f>
        <v xml:space="preserve">CHOPE KAIOWAS -400ML </v>
      </c>
      <c r="B1890" s="4" t="s">
        <v>12</v>
      </c>
      <c r="C1890" s="5">
        <v>25</v>
      </c>
      <c r="D1890" s="5">
        <v>9.56</v>
      </c>
      <c r="F1890" s="4" t="s">
        <v>9</v>
      </c>
      <c r="G1890" s="4" t="s">
        <v>1526</v>
      </c>
      <c r="H1890" s="6" t="s">
        <v>11</v>
      </c>
    </row>
    <row r="1891" spans="1:8" x14ac:dyDescent="0.25">
      <c r="A1891" s="4" t="str">
        <f>"CHOPE KAVALLA APOLLO BLONDE ALE - 400ML "</f>
        <v xml:space="preserve">CHOPE KAVALLA APOLLO BLONDE ALE - 400ML </v>
      </c>
      <c r="B1891" s="4" t="s">
        <v>12</v>
      </c>
      <c r="C1891" s="5">
        <v>25</v>
      </c>
      <c r="D1891" s="5">
        <v>7.2</v>
      </c>
      <c r="F1891" s="4" t="s">
        <v>9</v>
      </c>
      <c r="G1891" s="4" t="s">
        <v>1527</v>
      </c>
      <c r="H1891" s="6" t="s">
        <v>11</v>
      </c>
    </row>
    <row r="1892" spans="1:8" x14ac:dyDescent="0.25">
      <c r="A1892" s="4" t="str">
        <f>"CHOPE KAVALLA APOLLO BLONDE ALE 300ML "</f>
        <v xml:space="preserve">CHOPE KAVALLA APOLLO BLONDE ALE 300ML </v>
      </c>
      <c r="B1892" s="4" t="s">
        <v>12</v>
      </c>
      <c r="C1892" s="5">
        <v>20</v>
      </c>
      <c r="D1892" s="5">
        <v>5.4</v>
      </c>
      <c r="F1892" s="4" t="s">
        <v>9</v>
      </c>
      <c r="G1892" s="4" t="s">
        <v>1529</v>
      </c>
      <c r="H1892" s="6" t="s">
        <v>11</v>
      </c>
    </row>
    <row r="1893" spans="1:8" x14ac:dyDescent="0.25">
      <c r="A1893" s="4" t="s">
        <v>1530</v>
      </c>
      <c r="B1893" s="4" t="s">
        <v>12</v>
      </c>
      <c r="C1893" s="5">
        <v>20</v>
      </c>
      <c r="D1893" s="5">
        <v>5.4</v>
      </c>
      <c r="F1893" s="4" t="s">
        <v>9</v>
      </c>
      <c r="G1893" s="4" t="s">
        <v>1531</v>
      </c>
      <c r="H1893" s="6" t="s">
        <v>11</v>
      </c>
    </row>
    <row r="1894" spans="1:8" x14ac:dyDescent="0.25">
      <c r="A1894" s="4" t="s">
        <v>1532</v>
      </c>
      <c r="B1894" s="4" t="s">
        <v>12</v>
      </c>
      <c r="C1894" s="5">
        <v>25</v>
      </c>
      <c r="D1894" s="5">
        <v>7.2</v>
      </c>
      <c r="F1894" s="4" t="s">
        <v>9</v>
      </c>
      <c r="G1894" s="4" t="s">
        <v>1533</v>
      </c>
      <c r="H1894" s="6" t="s">
        <v>11</v>
      </c>
    </row>
    <row r="1895" spans="1:8" x14ac:dyDescent="0.25">
      <c r="A1895" s="4" t="s">
        <v>1538</v>
      </c>
      <c r="B1895" s="4" t="s">
        <v>12</v>
      </c>
      <c r="C1895" s="5">
        <v>20</v>
      </c>
      <c r="D1895" s="5">
        <v>4.8</v>
      </c>
      <c r="F1895" s="4" t="s">
        <v>9</v>
      </c>
      <c r="G1895" s="4" t="s">
        <v>1539</v>
      </c>
      <c r="H1895" s="6" t="s">
        <v>11</v>
      </c>
    </row>
    <row r="1896" spans="1:8" x14ac:dyDescent="0.25">
      <c r="A1896" s="4" t="s">
        <v>1540</v>
      </c>
      <c r="B1896" s="4" t="s">
        <v>12</v>
      </c>
      <c r="C1896" s="5">
        <v>25</v>
      </c>
      <c r="D1896" s="5">
        <v>6.4</v>
      </c>
      <c r="F1896" s="4" t="s">
        <v>9</v>
      </c>
      <c r="G1896" s="4" t="s">
        <v>1541</v>
      </c>
      <c r="H1896" s="6" t="s">
        <v>11</v>
      </c>
    </row>
    <row r="1897" spans="1:8" x14ac:dyDescent="0.25">
      <c r="A1897" s="4" t="s">
        <v>1543</v>
      </c>
      <c r="B1897" s="4" t="s">
        <v>12</v>
      </c>
      <c r="C1897" s="5">
        <v>20</v>
      </c>
      <c r="D1897" s="5">
        <v>5.0999999999999996</v>
      </c>
      <c r="F1897" s="4" t="s">
        <v>9</v>
      </c>
      <c r="G1897" s="4" t="s">
        <v>1544</v>
      </c>
      <c r="H1897" s="6" t="s">
        <v>11</v>
      </c>
    </row>
    <row r="1898" spans="1:8" x14ac:dyDescent="0.25">
      <c r="A1898" s="4" t="str">
        <f>"CHOPE KOKOT IPA- 400ML "</f>
        <v xml:space="preserve">CHOPE KOKOT IPA- 400ML </v>
      </c>
      <c r="B1898" s="4" t="s">
        <v>12</v>
      </c>
      <c r="C1898" s="5">
        <v>25</v>
      </c>
      <c r="D1898" s="5">
        <v>6.8</v>
      </c>
      <c r="F1898" s="4" t="s">
        <v>9</v>
      </c>
      <c r="G1898" s="4" t="s">
        <v>1545</v>
      </c>
      <c r="H1898" s="6" t="s">
        <v>11</v>
      </c>
    </row>
    <row r="1899" spans="1:8" x14ac:dyDescent="0.25">
      <c r="A1899" s="4" t="s">
        <v>1546</v>
      </c>
      <c r="B1899" s="4" t="s">
        <v>12</v>
      </c>
      <c r="C1899" s="5">
        <v>20</v>
      </c>
      <c r="D1899" s="5">
        <v>7.6</v>
      </c>
      <c r="F1899" s="4" t="s">
        <v>9</v>
      </c>
      <c r="G1899" s="4" t="s">
        <v>1547</v>
      </c>
      <c r="H1899" s="6" t="s">
        <v>11</v>
      </c>
    </row>
    <row r="1900" spans="1:8" x14ac:dyDescent="0.25">
      <c r="A1900" s="4" t="s">
        <v>1548</v>
      </c>
      <c r="B1900" s="4" t="s">
        <v>12</v>
      </c>
      <c r="C1900" s="5">
        <v>25</v>
      </c>
      <c r="D1900" s="5">
        <v>7.6</v>
      </c>
      <c r="F1900" s="4" t="s">
        <v>9</v>
      </c>
      <c r="G1900" s="4" t="s">
        <v>1549</v>
      </c>
      <c r="H1900" s="6" t="s">
        <v>11</v>
      </c>
    </row>
    <row r="1901" spans="1:8" x14ac:dyDescent="0.25">
      <c r="A1901" s="4" t="s">
        <v>1550</v>
      </c>
      <c r="B1901" s="4" t="s">
        <v>12</v>
      </c>
      <c r="C1901" s="5">
        <v>25</v>
      </c>
      <c r="D1901" s="5">
        <v>7.6</v>
      </c>
      <c r="F1901" s="4" t="s">
        <v>9</v>
      </c>
      <c r="G1901" s="4" t="s">
        <v>1551</v>
      </c>
      <c r="H1901" s="6" t="s">
        <v>11</v>
      </c>
    </row>
    <row r="1902" spans="1:8" x14ac:dyDescent="0.25">
      <c r="A1902" s="4" t="s">
        <v>1552</v>
      </c>
      <c r="B1902" s="4" t="s">
        <v>12</v>
      </c>
      <c r="C1902" s="5">
        <v>30</v>
      </c>
      <c r="D1902" s="5">
        <v>7.6</v>
      </c>
      <c r="F1902" s="4" t="s">
        <v>9</v>
      </c>
      <c r="G1902" s="4" t="s">
        <v>1553</v>
      </c>
      <c r="H1902" s="6" t="s">
        <v>11</v>
      </c>
    </row>
    <row r="1903" spans="1:8" x14ac:dyDescent="0.25">
      <c r="A1903" s="4" t="s">
        <v>1556</v>
      </c>
      <c r="B1903" s="4" t="s">
        <v>12</v>
      </c>
      <c r="C1903" s="5">
        <v>20</v>
      </c>
      <c r="D1903" s="5">
        <v>6.41</v>
      </c>
      <c r="F1903" s="4" t="s">
        <v>9</v>
      </c>
      <c r="G1903" s="4" t="s">
        <v>1557</v>
      </c>
      <c r="H1903" s="6" t="s">
        <v>11</v>
      </c>
    </row>
    <row r="1904" spans="1:8" x14ac:dyDescent="0.25">
      <c r="A1904" s="4" t="s">
        <v>1558</v>
      </c>
      <c r="B1904" s="4" t="s">
        <v>12</v>
      </c>
      <c r="C1904" s="5">
        <v>25</v>
      </c>
      <c r="D1904" s="5">
        <v>8.5500000000000007</v>
      </c>
      <c r="F1904" s="4" t="s">
        <v>9</v>
      </c>
      <c r="G1904" s="4" t="s">
        <v>1559</v>
      </c>
      <c r="H1904" s="6" t="s">
        <v>11</v>
      </c>
    </row>
    <row r="1905" spans="1:8" x14ac:dyDescent="0.25">
      <c r="A1905" s="4" t="s">
        <v>1560</v>
      </c>
      <c r="B1905" s="4" t="s">
        <v>12</v>
      </c>
      <c r="C1905" s="5">
        <v>17</v>
      </c>
      <c r="D1905" s="5">
        <v>3.06</v>
      </c>
      <c r="F1905" s="4" t="s">
        <v>9</v>
      </c>
      <c r="G1905" s="4" t="s">
        <v>1561</v>
      </c>
      <c r="H1905" s="6" t="s">
        <v>11</v>
      </c>
    </row>
    <row r="1906" spans="1:8" x14ac:dyDescent="0.25">
      <c r="A1906" s="4" t="str">
        <f>"CHOPE LAGER - AMERICAN LIGHT  400ML "</f>
        <v xml:space="preserve">CHOPE LAGER - AMERICAN LIGHT  400ML </v>
      </c>
      <c r="B1906" s="4" t="s">
        <v>12</v>
      </c>
      <c r="C1906" s="5">
        <v>20</v>
      </c>
      <c r="D1906" s="5">
        <v>4.08</v>
      </c>
      <c r="F1906" s="4" t="s">
        <v>9</v>
      </c>
      <c r="G1906" s="4" t="s">
        <v>1564</v>
      </c>
      <c r="H1906" s="6" t="s">
        <v>11</v>
      </c>
    </row>
    <row r="1907" spans="1:8" x14ac:dyDescent="0.25">
      <c r="A1907" s="4" t="str">
        <f>"CHOPE LE CHAUD AMER  300ML "</f>
        <v xml:space="preserve">CHOPE LE CHAUD AMER  300ML </v>
      </c>
      <c r="B1907" s="4" t="s">
        <v>12</v>
      </c>
      <c r="C1907" s="5">
        <v>20</v>
      </c>
      <c r="D1907" s="5">
        <v>7.2</v>
      </c>
      <c r="F1907" s="4" t="s">
        <v>9</v>
      </c>
      <c r="G1907" s="4" t="s">
        <v>1565</v>
      </c>
      <c r="H1907" s="6" t="s">
        <v>11</v>
      </c>
    </row>
    <row r="1908" spans="1:8" x14ac:dyDescent="0.25">
      <c r="A1908" s="4" t="str">
        <f>"CHOPE LE CHAUD AMER  400ML "</f>
        <v xml:space="preserve">CHOPE LE CHAUD AMER  400ML </v>
      </c>
      <c r="B1908" s="4" t="s">
        <v>12</v>
      </c>
      <c r="C1908" s="5">
        <v>25</v>
      </c>
      <c r="D1908" s="5">
        <v>5.4</v>
      </c>
      <c r="F1908" s="4" t="s">
        <v>9</v>
      </c>
      <c r="G1908" s="4" t="s">
        <v>1566</v>
      </c>
      <c r="H1908" s="6" t="s">
        <v>11</v>
      </c>
    </row>
    <row r="1909" spans="1:8" x14ac:dyDescent="0.25">
      <c r="A1909" s="4" t="s">
        <v>1571</v>
      </c>
      <c r="B1909" s="4" t="s">
        <v>12</v>
      </c>
      <c r="C1909" s="5">
        <v>20</v>
      </c>
      <c r="D1909" s="5">
        <v>10.1</v>
      </c>
      <c r="F1909" s="4" t="s">
        <v>9</v>
      </c>
      <c r="G1909" s="4" t="s">
        <v>1572</v>
      </c>
      <c r="H1909" s="6" t="s">
        <v>11</v>
      </c>
    </row>
    <row r="1910" spans="1:8" x14ac:dyDescent="0.25">
      <c r="A1910" s="4" t="str">
        <f>"CHOPE LENNON IN THE SKY WITH -400ML "</f>
        <v xml:space="preserve">CHOPE LENNON IN THE SKY WITH -400ML </v>
      </c>
      <c r="B1910" s="4" t="s">
        <v>12</v>
      </c>
      <c r="C1910" s="5">
        <v>25</v>
      </c>
      <c r="D1910" s="5">
        <v>10.1</v>
      </c>
      <c r="F1910" s="4" t="s">
        <v>9</v>
      </c>
      <c r="G1910" s="4" t="s">
        <v>1573</v>
      </c>
      <c r="H1910" s="6" t="s">
        <v>11</v>
      </c>
    </row>
    <row r="1911" spans="1:8" x14ac:dyDescent="0.25">
      <c r="A1911" s="4" t="s">
        <v>1577</v>
      </c>
      <c r="B1911" s="4" t="s">
        <v>12</v>
      </c>
      <c r="C1911" s="5">
        <v>20</v>
      </c>
      <c r="D1911" s="5">
        <v>5.7</v>
      </c>
      <c r="F1911" s="4" t="s">
        <v>9</v>
      </c>
      <c r="G1911" s="4" t="s">
        <v>1578</v>
      </c>
      <c r="H1911" s="6" t="s">
        <v>11</v>
      </c>
    </row>
    <row r="1912" spans="1:8" x14ac:dyDescent="0.25">
      <c r="A1912" s="4" t="str">
        <f>"CHOPE LOBOS RED ALE - 400ML "</f>
        <v xml:space="preserve">CHOPE LOBOS RED ALE - 400ML </v>
      </c>
      <c r="B1912" s="4" t="s">
        <v>12</v>
      </c>
      <c r="C1912" s="5">
        <v>25</v>
      </c>
      <c r="D1912" s="5">
        <v>7.6</v>
      </c>
      <c r="F1912" s="4" t="s">
        <v>9</v>
      </c>
      <c r="G1912" s="4" t="s">
        <v>1579</v>
      </c>
      <c r="H1912" s="6" t="s">
        <v>11</v>
      </c>
    </row>
    <row r="1913" spans="1:8" x14ac:dyDescent="0.25">
      <c r="A1913" s="4" t="s">
        <v>1580</v>
      </c>
      <c r="B1913" s="4" t="s">
        <v>12</v>
      </c>
      <c r="C1913" s="5">
        <v>20</v>
      </c>
      <c r="D1913" s="5">
        <v>5.7</v>
      </c>
      <c r="F1913" s="4" t="s">
        <v>9</v>
      </c>
      <c r="G1913" s="4" t="s">
        <v>1581</v>
      </c>
      <c r="H1913" s="6" t="s">
        <v>11</v>
      </c>
    </row>
    <row r="1914" spans="1:8" x14ac:dyDescent="0.25">
      <c r="A1914" s="4" t="str">
        <f>"CHOPE LOBOS SCOTCH ALE - 400ML "</f>
        <v xml:space="preserve">CHOPE LOBOS SCOTCH ALE - 400ML </v>
      </c>
      <c r="B1914" s="4" t="s">
        <v>12</v>
      </c>
      <c r="C1914" s="5">
        <v>25</v>
      </c>
      <c r="D1914" s="5">
        <v>7.6</v>
      </c>
      <c r="F1914" s="4" t="s">
        <v>9</v>
      </c>
      <c r="G1914" s="4" t="s">
        <v>1582</v>
      </c>
      <c r="H1914" s="6" t="s">
        <v>11</v>
      </c>
    </row>
    <row r="1915" spans="1:8" x14ac:dyDescent="0.25">
      <c r="A1915" s="4" t="str">
        <f>"CHOPE LOST IN LUST (SOUR) - 300ML "</f>
        <v xml:space="preserve">CHOPE LOST IN LUST (SOUR) - 300ML </v>
      </c>
      <c r="B1915" s="4" t="s">
        <v>12</v>
      </c>
      <c r="C1915" s="5">
        <v>20</v>
      </c>
      <c r="F1915" s="4" t="s">
        <v>9</v>
      </c>
      <c r="G1915" s="4" t="s">
        <v>1585</v>
      </c>
      <c r="H1915" s="6" t="s">
        <v>11</v>
      </c>
    </row>
    <row r="1916" spans="1:8" x14ac:dyDescent="0.25">
      <c r="A1916" s="4" t="str">
        <f>"CHOPE LOST IN LUST (SOUR) - 400ML "</f>
        <v xml:space="preserve">CHOPE LOST IN LUST (SOUR) - 400ML </v>
      </c>
      <c r="B1916" s="4" t="s">
        <v>12</v>
      </c>
      <c r="C1916" s="5">
        <v>25</v>
      </c>
      <c r="F1916" s="4" t="s">
        <v>9</v>
      </c>
      <c r="G1916" s="4" t="s">
        <v>1586</v>
      </c>
      <c r="H1916" s="6" t="s">
        <v>11</v>
      </c>
    </row>
    <row r="1917" spans="1:8" x14ac:dyDescent="0.25">
      <c r="A1917" s="4" t="s">
        <v>1589</v>
      </c>
      <c r="B1917" s="4" t="s">
        <v>12</v>
      </c>
      <c r="C1917" s="5">
        <v>20</v>
      </c>
      <c r="D1917" s="5">
        <v>6.75</v>
      </c>
      <c r="F1917" s="4" t="s">
        <v>9</v>
      </c>
      <c r="G1917" s="4" t="s">
        <v>1590</v>
      </c>
      <c r="H1917" s="6" t="s">
        <v>11</v>
      </c>
    </row>
    <row r="1918" spans="1:8" x14ac:dyDescent="0.25">
      <c r="A1918" s="4" t="s">
        <v>1591</v>
      </c>
      <c r="B1918" s="4" t="s">
        <v>12</v>
      </c>
      <c r="C1918" s="5">
        <v>25</v>
      </c>
      <c r="D1918" s="5">
        <v>9</v>
      </c>
      <c r="F1918" s="4" t="s">
        <v>9</v>
      </c>
      <c r="G1918" s="4" t="s">
        <v>1592</v>
      </c>
      <c r="H1918" s="6" t="s">
        <v>11</v>
      </c>
    </row>
    <row r="1919" spans="1:8" x14ac:dyDescent="0.25">
      <c r="A1919" s="4" t="str">
        <f>"CHOPE LUCY IRISH RED ALE  300ML "</f>
        <v xml:space="preserve">CHOPE LUCY IRISH RED ALE  300ML </v>
      </c>
      <c r="B1919" s="4" t="s">
        <v>12</v>
      </c>
      <c r="C1919" s="5">
        <v>20</v>
      </c>
      <c r="D1919" s="5">
        <v>0.5</v>
      </c>
      <c r="F1919" s="4" t="s">
        <v>9</v>
      </c>
      <c r="G1919" s="4" t="s">
        <v>1593</v>
      </c>
      <c r="H1919" s="6" t="s">
        <v>11</v>
      </c>
    </row>
    <row r="1920" spans="1:8" x14ac:dyDescent="0.25">
      <c r="A1920" s="4" t="str">
        <f>"CHOPE LUCY IRISH RED ALE  400ML "</f>
        <v xml:space="preserve">CHOPE LUCY IRISH RED ALE  400ML </v>
      </c>
      <c r="B1920" s="4" t="s">
        <v>12</v>
      </c>
      <c r="C1920" s="5">
        <v>25</v>
      </c>
      <c r="D1920" s="5">
        <v>0.66</v>
      </c>
      <c r="F1920" s="4" t="s">
        <v>9</v>
      </c>
      <c r="G1920" s="4" t="s">
        <v>1594</v>
      </c>
      <c r="H1920" s="6" t="s">
        <v>11</v>
      </c>
    </row>
    <row r="1921" spans="1:8" x14ac:dyDescent="0.25">
      <c r="A1921" s="4" t="s">
        <v>1597</v>
      </c>
      <c r="B1921" s="4" t="s">
        <v>12</v>
      </c>
      <c r="C1921" s="5">
        <v>20</v>
      </c>
      <c r="D1921" s="5">
        <v>5.7</v>
      </c>
      <c r="F1921" s="4" t="s">
        <v>9</v>
      </c>
      <c r="G1921" s="4" t="s">
        <v>1598</v>
      </c>
      <c r="H1921" s="6" t="s">
        <v>11</v>
      </c>
    </row>
    <row r="1922" spans="1:8" x14ac:dyDescent="0.25">
      <c r="A1922" s="4" t="str">
        <f>"CHOPE MAD JACK - HAZY IPA 400ML "</f>
        <v xml:space="preserve">CHOPE MAD JACK - HAZY IPA 400ML </v>
      </c>
      <c r="B1922" s="4" t="s">
        <v>12</v>
      </c>
      <c r="C1922" s="5">
        <v>25</v>
      </c>
      <c r="D1922" s="5">
        <v>7.6</v>
      </c>
      <c r="F1922" s="4" t="s">
        <v>9</v>
      </c>
      <c r="G1922" s="4" t="s">
        <v>1599</v>
      </c>
      <c r="H1922" s="6" t="s">
        <v>11</v>
      </c>
    </row>
    <row r="1923" spans="1:8" x14ac:dyDescent="0.25">
      <c r="A1923" s="4" t="s">
        <v>1602</v>
      </c>
      <c r="B1923" s="4" t="s">
        <v>12</v>
      </c>
      <c r="C1923" s="5">
        <v>25</v>
      </c>
      <c r="D1923" s="5">
        <v>8.07</v>
      </c>
      <c r="F1923" s="4" t="s">
        <v>9</v>
      </c>
      <c r="G1923" s="4" t="s">
        <v>1603</v>
      </c>
      <c r="H1923" s="6" t="s">
        <v>11</v>
      </c>
    </row>
    <row r="1924" spans="1:8" x14ac:dyDescent="0.25">
      <c r="A1924" s="4" t="s">
        <v>1604</v>
      </c>
      <c r="B1924" s="4" t="s">
        <v>12</v>
      </c>
      <c r="C1924" s="5">
        <v>30</v>
      </c>
      <c r="D1924" s="5">
        <v>10.76</v>
      </c>
      <c r="F1924" s="4" t="s">
        <v>9</v>
      </c>
      <c r="G1924" s="4" t="s">
        <v>1605</v>
      </c>
      <c r="H1924" s="6" t="s">
        <v>11</v>
      </c>
    </row>
    <row r="1925" spans="1:8" x14ac:dyDescent="0.25">
      <c r="A1925" s="4" t="s">
        <v>1606</v>
      </c>
      <c r="B1925" s="4" t="s">
        <v>12</v>
      </c>
      <c r="C1925" s="5">
        <v>20</v>
      </c>
      <c r="D1925" s="5">
        <v>175.5</v>
      </c>
      <c r="F1925" s="4" t="s">
        <v>9</v>
      </c>
      <c r="G1925" s="4" t="s">
        <v>1607</v>
      </c>
      <c r="H1925" s="6" t="s">
        <v>11</v>
      </c>
    </row>
    <row r="1926" spans="1:8" x14ac:dyDescent="0.25">
      <c r="A1926" s="4" t="str">
        <f>"CHOPE MALIGNA - 400ML "</f>
        <v xml:space="preserve">CHOPE MALIGNA - 400ML </v>
      </c>
      <c r="B1926" s="4" t="s">
        <v>12</v>
      </c>
      <c r="C1926" s="5">
        <v>25</v>
      </c>
      <c r="D1926" s="5">
        <v>234</v>
      </c>
      <c r="F1926" s="4" t="s">
        <v>9</v>
      </c>
      <c r="G1926" s="4" t="s">
        <v>1608</v>
      </c>
      <c r="H1926" s="6" t="s">
        <v>11</v>
      </c>
    </row>
    <row r="1927" spans="1:8" x14ac:dyDescent="0.25">
      <c r="A1927" s="4" t="str">
        <f>"CHOPE MAMBA APA - 300ML "</f>
        <v xml:space="preserve">CHOPE MAMBA APA - 300ML </v>
      </c>
      <c r="B1927" s="4" t="s">
        <v>12</v>
      </c>
      <c r="C1927" s="5">
        <v>20</v>
      </c>
      <c r="D1927" s="5">
        <v>5.37</v>
      </c>
      <c r="F1927" s="4" t="s">
        <v>9</v>
      </c>
      <c r="G1927" s="4" t="s">
        <v>1609</v>
      </c>
      <c r="H1927" s="6" t="s">
        <v>11</v>
      </c>
    </row>
    <row r="1928" spans="1:8" x14ac:dyDescent="0.25">
      <c r="A1928" s="4" t="str">
        <f>"CHOPE MAMBA APA - 400ML "</f>
        <v xml:space="preserve">CHOPE MAMBA APA - 400ML </v>
      </c>
      <c r="B1928" s="4" t="s">
        <v>12</v>
      </c>
      <c r="C1928" s="5">
        <v>25</v>
      </c>
      <c r="D1928" s="5">
        <v>7.16</v>
      </c>
      <c r="F1928" s="4" t="s">
        <v>9</v>
      </c>
      <c r="G1928" s="4" t="s">
        <v>1610</v>
      </c>
      <c r="H1928" s="6" t="s">
        <v>11</v>
      </c>
    </row>
    <row r="1929" spans="1:8" x14ac:dyDescent="0.25">
      <c r="A1929" s="4" t="s">
        <v>1614</v>
      </c>
      <c r="B1929" s="4" t="s">
        <v>12</v>
      </c>
      <c r="C1929" s="5">
        <v>20</v>
      </c>
      <c r="D1929" s="5">
        <v>5.55</v>
      </c>
      <c r="F1929" s="4" t="s">
        <v>9</v>
      </c>
      <c r="G1929" s="4" t="s">
        <v>1615</v>
      </c>
      <c r="H1929" s="6" t="s">
        <v>11</v>
      </c>
    </row>
    <row r="1930" spans="1:8" x14ac:dyDescent="0.25">
      <c r="A1930" s="4" t="s">
        <v>1616</v>
      </c>
      <c r="B1930" s="4" t="s">
        <v>12</v>
      </c>
      <c r="C1930" s="5">
        <v>25</v>
      </c>
      <c r="D1930" s="5">
        <v>7.4</v>
      </c>
      <c r="F1930" s="4" t="s">
        <v>9</v>
      </c>
      <c r="G1930" s="4" t="s">
        <v>1617</v>
      </c>
      <c r="H1930" s="6" t="s">
        <v>11</v>
      </c>
    </row>
    <row r="1931" spans="1:8" x14ac:dyDescent="0.25">
      <c r="A1931" s="4" t="s">
        <v>1620</v>
      </c>
      <c r="B1931" s="4" t="s">
        <v>12</v>
      </c>
      <c r="C1931" s="5">
        <v>20</v>
      </c>
      <c r="D1931" s="5">
        <v>8.8800000000000008</v>
      </c>
      <c r="F1931" s="4" t="s">
        <v>9</v>
      </c>
      <c r="G1931" s="4" t="s">
        <v>1621</v>
      </c>
      <c r="H1931" s="6" t="s">
        <v>11</v>
      </c>
    </row>
    <row r="1932" spans="1:8" x14ac:dyDescent="0.25">
      <c r="A1932" s="4" t="str">
        <f>"CHOPE MANIACS BROOKLYN EAST IPA - 400ML "</f>
        <v xml:space="preserve">CHOPE MANIACS BROOKLYN EAST IPA - 400ML </v>
      </c>
      <c r="B1932" s="4" t="s">
        <v>12</v>
      </c>
      <c r="C1932" s="5">
        <v>25</v>
      </c>
      <c r="D1932" s="5">
        <v>11.84</v>
      </c>
      <c r="F1932" s="4" t="s">
        <v>9</v>
      </c>
      <c r="G1932" s="4" t="s">
        <v>1622</v>
      </c>
      <c r="H1932" s="6" t="s">
        <v>11</v>
      </c>
    </row>
    <row r="1933" spans="1:8" x14ac:dyDescent="0.25">
      <c r="A1933" s="4" t="str">
        <f>"CHOPE MANIACS DOUBLE IPA - 300ML "</f>
        <v xml:space="preserve">CHOPE MANIACS DOUBLE IPA - 300ML </v>
      </c>
      <c r="B1933" s="4" t="s">
        <v>12</v>
      </c>
      <c r="C1933" s="5">
        <v>20</v>
      </c>
      <c r="D1933" s="5">
        <v>7.53</v>
      </c>
      <c r="F1933" s="4" t="s">
        <v>9</v>
      </c>
      <c r="G1933" s="4" t="s">
        <v>1623</v>
      </c>
      <c r="H1933" s="6" t="s">
        <v>11</v>
      </c>
    </row>
    <row r="1934" spans="1:8" x14ac:dyDescent="0.25">
      <c r="A1934" s="4" t="s">
        <v>1624</v>
      </c>
      <c r="B1934" s="4" t="s">
        <v>12</v>
      </c>
      <c r="C1934" s="5">
        <v>25</v>
      </c>
      <c r="D1934" s="5">
        <v>10.039999999999999</v>
      </c>
      <c r="F1934" s="4" t="s">
        <v>9</v>
      </c>
      <c r="G1934" s="4" t="s">
        <v>1625</v>
      </c>
      <c r="H1934" s="6" t="s">
        <v>11</v>
      </c>
    </row>
    <row r="1935" spans="1:8" x14ac:dyDescent="0.25">
      <c r="A1935" s="4" t="str">
        <f>"CHOPE MANOTAÇO SOUR - 300ML "</f>
        <v xml:space="preserve">CHOPE MANOTAÇO SOUR - 300ML </v>
      </c>
      <c r="B1935" s="4" t="s">
        <v>12</v>
      </c>
      <c r="C1935" s="5">
        <v>20</v>
      </c>
      <c r="D1935" s="5">
        <v>5.97</v>
      </c>
      <c r="F1935" s="4" t="s">
        <v>9</v>
      </c>
      <c r="G1935" s="4" t="s">
        <v>1626</v>
      </c>
      <c r="H1935" s="6" t="s">
        <v>11</v>
      </c>
    </row>
    <row r="1936" spans="1:8" x14ac:dyDescent="0.25">
      <c r="A1936" s="4" t="str">
        <f>"CHOPE MANOTAÇO SOUR - 400ML "</f>
        <v xml:space="preserve">CHOPE MANOTAÇO SOUR - 400ML </v>
      </c>
      <c r="B1936" s="4" t="s">
        <v>12</v>
      </c>
      <c r="C1936" s="5">
        <v>25</v>
      </c>
      <c r="D1936" s="5">
        <v>7.96</v>
      </c>
      <c r="F1936" s="4" t="s">
        <v>9</v>
      </c>
      <c r="G1936" s="4" t="s">
        <v>1627</v>
      </c>
      <c r="H1936" s="6" t="s">
        <v>11</v>
      </c>
    </row>
    <row r="1937" spans="1:8" x14ac:dyDescent="0.25">
      <c r="A1937" s="4" t="str">
        <f>"CHOPE MARIJUANA - AMERICAN IPA 300ML "</f>
        <v xml:space="preserve">CHOPE MARIJUANA - AMERICAN IPA 300ML </v>
      </c>
      <c r="B1937" s="4" t="s">
        <v>12</v>
      </c>
      <c r="C1937" s="5">
        <v>20</v>
      </c>
      <c r="D1937" s="5">
        <v>6.3</v>
      </c>
      <c r="F1937" s="4" t="s">
        <v>9</v>
      </c>
      <c r="G1937" s="4" t="s">
        <v>1629</v>
      </c>
      <c r="H1937" s="6" t="s">
        <v>11</v>
      </c>
    </row>
    <row r="1938" spans="1:8" x14ac:dyDescent="0.25">
      <c r="A1938" s="4" t="str">
        <f>"CHOPE MARIJUANA - AMERICAN IPA 400ML "</f>
        <v xml:space="preserve">CHOPE MARIJUANA - AMERICAN IPA 400ML </v>
      </c>
      <c r="B1938" s="4" t="s">
        <v>12</v>
      </c>
      <c r="C1938" s="5">
        <v>25</v>
      </c>
      <c r="D1938" s="5">
        <v>8.4</v>
      </c>
      <c r="F1938" s="4" t="s">
        <v>9</v>
      </c>
      <c r="G1938" s="4" t="s">
        <v>1630</v>
      </c>
      <c r="H1938" s="6" t="s">
        <v>11</v>
      </c>
    </row>
    <row r="1939" spans="1:8" x14ac:dyDescent="0.25">
      <c r="A1939" s="4" t="s">
        <v>1631</v>
      </c>
      <c r="B1939" s="4" t="s">
        <v>12</v>
      </c>
      <c r="D1939" s="5">
        <v>21.45</v>
      </c>
      <c r="E1939" s="5">
        <v>61</v>
      </c>
      <c r="F1939" s="4" t="s">
        <v>59</v>
      </c>
      <c r="G1939" s="4" t="s">
        <v>1632</v>
      </c>
      <c r="H1939" s="6" t="s">
        <v>11</v>
      </c>
    </row>
    <row r="1940" spans="1:8" x14ac:dyDescent="0.25">
      <c r="A1940" s="4" t="s">
        <v>1633</v>
      </c>
      <c r="B1940" s="4" t="s">
        <v>12</v>
      </c>
      <c r="C1940" s="5">
        <v>20</v>
      </c>
      <c r="D1940" s="5">
        <v>4.54</v>
      </c>
      <c r="F1940" s="4" t="s">
        <v>9</v>
      </c>
      <c r="G1940" s="4" t="s">
        <v>1634</v>
      </c>
      <c r="H1940" s="6" t="s">
        <v>11</v>
      </c>
    </row>
    <row r="1941" spans="1:8" x14ac:dyDescent="0.25">
      <c r="A1941" s="4" t="str">
        <f>"CHOPE MARK THE SHADOW - 400ML "</f>
        <v xml:space="preserve">CHOPE MARK THE SHADOW - 400ML </v>
      </c>
      <c r="B1941" s="4" t="s">
        <v>12</v>
      </c>
      <c r="C1941" s="5">
        <v>25</v>
      </c>
      <c r="D1941" s="5">
        <v>6.05</v>
      </c>
      <c r="F1941" s="4" t="s">
        <v>9</v>
      </c>
      <c r="G1941" s="4" t="s">
        <v>1635</v>
      </c>
      <c r="H1941" s="6" t="s">
        <v>11</v>
      </c>
    </row>
    <row r="1942" spans="1:8" x14ac:dyDescent="0.25">
      <c r="A1942" s="4" t="str">
        <f>"CHOPE MARZEN  300ML "</f>
        <v xml:space="preserve">CHOPE MARZEN  300ML </v>
      </c>
      <c r="B1942" s="4" t="s">
        <v>12</v>
      </c>
      <c r="C1942" s="5">
        <v>17</v>
      </c>
      <c r="D1942" s="5">
        <v>3.13</v>
      </c>
      <c r="F1942" s="4" t="s">
        <v>9</v>
      </c>
      <c r="G1942" s="4" t="s">
        <v>1640</v>
      </c>
      <c r="H1942" s="6" t="s">
        <v>11</v>
      </c>
    </row>
    <row r="1943" spans="1:8" x14ac:dyDescent="0.25">
      <c r="A1943" s="4" t="s">
        <v>1641</v>
      </c>
      <c r="B1943" s="4" t="s">
        <v>12</v>
      </c>
      <c r="C1943" s="5">
        <v>20</v>
      </c>
      <c r="D1943" s="5">
        <v>4.18</v>
      </c>
      <c r="F1943" s="4" t="s">
        <v>9</v>
      </c>
      <c r="G1943" s="4" t="s">
        <v>1642</v>
      </c>
      <c r="H1943" s="6" t="s">
        <v>11</v>
      </c>
    </row>
    <row r="1944" spans="1:8" x14ac:dyDescent="0.25">
      <c r="A1944" s="4" t="s">
        <v>1643</v>
      </c>
      <c r="B1944" s="4" t="s">
        <v>12</v>
      </c>
      <c r="C1944" s="5">
        <v>20</v>
      </c>
      <c r="D1944" s="5">
        <v>184.5</v>
      </c>
      <c r="F1944" s="4" t="s">
        <v>9</v>
      </c>
      <c r="G1944" s="4" t="s">
        <v>1644</v>
      </c>
      <c r="H1944" s="6" t="s">
        <v>11</v>
      </c>
    </row>
    <row r="1945" spans="1:8" x14ac:dyDescent="0.25">
      <c r="A1945" s="4" t="s">
        <v>1645</v>
      </c>
      <c r="B1945" s="4" t="s">
        <v>12</v>
      </c>
      <c r="C1945" s="5">
        <v>25</v>
      </c>
      <c r="D1945" s="5">
        <v>246</v>
      </c>
      <c r="F1945" s="4" t="s">
        <v>9</v>
      </c>
      <c r="G1945" s="4" t="s">
        <v>1646</v>
      </c>
      <c r="H1945" s="6" t="s">
        <v>11</v>
      </c>
    </row>
    <row r="1946" spans="1:8" x14ac:dyDescent="0.25">
      <c r="A1946" s="4" t="s">
        <v>1647</v>
      </c>
      <c r="B1946" s="4" t="s">
        <v>12</v>
      </c>
      <c r="C1946" s="5">
        <v>25</v>
      </c>
      <c r="D1946" s="5">
        <v>4.88</v>
      </c>
      <c r="F1946" s="4" t="s">
        <v>9</v>
      </c>
      <c r="G1946" s="4" t="s">
        <v>1648</v>
      </c>
      <c r="H1946" s="6" t="s">
        <v>11</v>
      </c>
    </row>
    <row r="1947" spans="1:8" x14ac:dyDescent="0.25">
      <c r="A1947" s="4" t="s">
        <v>1652</v>
      </c>
      <c r="B1947" s="4" t="s">
        <v>12</v>
      </c>
      <c r="C1947" s="5">
        <v>20</v>
      </c>
      <c r="D1947" s="5">
        <v>170.1</v>
      </c>
      <c r="F1947" s="4" t="s">
        <v>9</v>
      </c>
      <c r="G1947" s="4" t="s">
        <v>1653</v>
      </c>
      <c r="H1947" s="6" t="s">
        <v>11</v>
      </c>
    </row>
    <row r="1948" spans="1:8" x14ac:dyDescent="0.25">
      <c r="A1948" s="4" t="str">
        <f>"CHOPE MASMORRA ROYALTY COFFEE SOUR - 400ML "</f>
        <v xml:space="preserve">CHOPE MASMORRA ROYALTY COFFEE SOUR - 400ML </v>
      </c>
      <c r="B1948" s="4" t="s">
        <v>12</v>
      </c>
      <c r="C1948" s="5">
        <v>25</v>
      </c>
      <c r="D1948" s="5">
        <v>226.8</v>
      </c>
      <c r="F1948" s="4" t="s">
        <v>9</v>
      </c>
      <c r="G1948" s="4" t="s">
        <v>1654</v>
      </c>
      <c r="H1948" s="6" t="s">
        <v>11</v>
      </c>
    </row>
    <row r="1949" spans="1:8" x14ac:dyDescent="0.25">
      <c r="A1949" s="4" t="s">
        <v>1657</v>
      </c>
      <c r="B1949" s="4" t="s">
        <v>12</v>
      </c>
      <c r="C1949" s="5">
        <v>25</v>
      </c>
      <c r="D1949" s="5">
        <v>6.57</v>
      </c>
      <c r="F1949" s="4" t="s">
        <v>9</v>
      </c>
      <c r="G1949" s="4" t="s">
        <v>1658</v>
      </c>
      <c r="H1949" s="6" t="s">
        <v>11</v>
      </c>
    </row>
    <row r="1950" spans="1:8" x14ac:dyDescent="0.25">
      <c r="A1950" s="4" t="str">
        <f>"CHOPE MAX MALLOW - 400ML "</f>
        <v xml:space="preserve">CHOPE MAX MALLOW - 400ML </v>
      </c>
      <c r="B1950" s="4" t="s">
        <v>12</v>
      </c>
      <c r="C1950" s="5">
        <v>30</v>
      </c>
      <c r="D1950" s="5">
        <v>8.76</v>
      </c>
      <c r="F1950" s="4" t="s">
        <v>9</v>
      </c>
      <c r="G1950" s="4" t="s">
        <v>1659</v>
      </c>
      <c r="H1950" s="6" t="s">
        <v>11</v>
      </c>
    </row>
    <row r="1951" spans="1:8" x14ac:dyDescent="0.25">
      <c r="A1951" s="4" t="s">
        <v>1660</v>
      </c>
      <c r="B1951" s="4" t="s">
        <v>12</v>
      </c>
      <c r="C1951" s="5">
        <v>20</v>
      </c>
      <c r="D1951" s="5">
        <v>6.23</v>
      </c>
      <c r="F1951" s="4" t="s">
        <v>9</v>
      </c>
      <c r="G1951" s="4" t="s">
        <v>1661</v>
      </c>
      <c r="H1951" s="6" t="s">
        <v>11</v>
      </c>
    </row>
    <row r="1952" spans="1:8" x14ac:dyDescent="0.25">
      <c r="A1952" s="4" t="s">
        <v>1662</v>
      </c>
      <c r="B1952" s="4" t="s">
        <v>12</v>
      </c>
      <c r="C1952" s="5">
        <v>25</v>
      </c>
      <c r="D1952" s="5">
        <v>8.31</v>
      </c>
      <c r="F1952" s="4" t="s">
        <v>9</v>
      </c>
      <c r="G1952" s="4" t="s">
        <v>1663</v>
      </c>
      <c r="H1952" s="6" t="s">
        <v>11</v>
      </c>
    </row>
    <row r="1953" spans="1:8" x14ac:dyDescent="0.25">
      <c r="A1953" s="4" t="s">
        <v>1665</v>
      </c>
      <c r="B1953" s="4" t="s">
        <v>12</v>
      </c>
      <c r="C1953" s="5">
        <v>20</v>
      </c>
      <c r="D1953" s="5">
        <v>5.97</v>
      </c>
      <c r="F1953" s="4" t="s">
        <v>9</v>
      </c>
      <c r="G1953" s="4" t="s">
        <v>1666</v>
      </c>
      <c r="H1953" s="6" t="s">
        <v>11</v>
      </c>
    </row>
    <row r="1954" spans="1:8" x14ac:dyDescent="0.25">
      <c r="A1954" s="4" t="str">
        <f>"CHOPE MIRTILO SOUR - 400ML "</f>
        <v xml:space="preserve">CHOPE MIRTILO SOUR - 400ML </v>
      </c>
      <c r="B1954" s="4" t="s">
        <v>12</v>
      </c>
      <c r="C1954" s="5">
        <v>25</v>
      </c>
      <c r="D1954" s="5">
        <v>7.96</v>
      </c>
      <c r="F1954" s="4" t="s">
        <v>9</v>
      </c>
      <c r="G1954" s="4" t="s">
        <v>1667</v>
      </c>
      <c r="H1954" s="6" t="s">
        <v>11</v>
      </c>
    </row>
    <row r="1955" spans="1:8" x14ac:dyDescent="0.25">
      <c r="A1955" s="4" t="s">
        <v>1668</v>
      </c>
      <c r="B1955" s="4" t="s">
        <v>12</v>
      </c>
      <c r="C1955" s="5">
        <v>20</v>
      </c>
      <c r="D1955" s="5">
        <v>7.2</v>
      </c>
      <c r="F1955" s="4" t="s">
        <v>9</v>
      </c>
      <c r="G1955" s="4" t="s">
        <v>1669</v>
      </c>
      <c r="H1955" s="6" t="s">
        <v>11</v>
      </c>
    </row>
    <row r="1956" spans="1:8" x14ac:dyDescent="0.25">
      <c r="A1956" s="4" t="s">
        <v>1670</v>
      </c>
      <c r="B1956" s="4" t="s">
        <v>12</v>
      </c>
      <c r="C1956" s="5">
        <v>25</v>
      </c>
      <c r="D1956" s="5">
        <v>9.6</v>
      </c>
      <c r="F1956" s="4" t="s">
        <v>9</v>
      </c>
      <c r="G1956" s="4" t="s">
        <v>1671</v>
      </c>
      <c r="H1956" s="6" t="s">
        <v>11</v>
      </c>
    </row>
    <row r="1957" spans="1:8" x14ac:dyDescent="0.25">
      <c r="A1957" s="4" t="str">
        <f>"CHOPE MONKEYSHINE - 300ML "</f>
        <v xml:space="preserve">CHOPE MONKEYSHINE - 300ML </v>
      </c>
      <c r="B1957" s="4" t="s">
        <v>12</v>
      </c>
      <c r="C1957" s="5">
        <v>20</v>
      </c>
      <c r="D1957" s="5">
        <v>5.23</v>
      </c>
      <c r="F1957" s="4" t="s">
        <v>9</v>
      </c>
      <c r="G1957" s="4" t="s">
        <v>1675</v>
      </c>
      <c r="H1957" s="6" t="s">
        <v>11</v>
      </c>
    </row>
    <row r="1958" spans="1:8" x14ac:dyDescent="0.25">
      <c r="A1958" s="4" t="s">
        <v>1676</v>
      </c>
      <c r="B1958" s="4" t="s">
        <v>12</v>
      </c>
      <c r="C1958" s="5">
        <v>25</v>
      </c>
      <c r="D1958" s="5">
        <v>6.98</v>
      </c>
      <c r="F1958" s="4" t="s">
        <v>9</v>
      </c>
      <c r="G1958" s="4" t="s">
        <v>1677</v>
      </c>
      <c r="H1958" s="6" t="s">
        <v>11</v>
      </c>
    </row>
    <row r="1959" spans="1:8" x14ac:dyDescent="0.25">
      <c r="A1959" s="4" t="s">
        <v>1678</v>
      </c>
      <c r="B1959" s="4" t="s">
        <v>12</v>
      </c>
      <c r="C1959" s="5">
        <v>20</v>
      </c>
      <c r="D1959" s="5">
        <v>7.2</v>
      </c>
      <c r="F1959" s="4" t="s">
        <v>9</v>
      </c>
      <c r="G1959" s="4" t="s">
        <v>1679</v>
      </c>
      <c r="H1959" s="6" t="s">
        <v>11</v>
      </c>
    </row>
    <row r="1960" spans="1:8" x14ac:dyDescent="0.25">
      <c r="A1960" s="4" t="str">
        <f>"CHOPE MOON CLOCKS - DOUBLE NEW ENGLAND 400ML "</f>
        <v xml:space="preserve">CHOPE MOON CLOCKS - DOUBLE NEW ENGLAND 400ML </v>
      </c>
      <c r="B1960" s="4" t="s">
        <v>12</v>
      </c>
      <c r="C1960" s="5">
        <v>25</v>
      </c>
      <c r="D1960" s="5">
        <v>9.6</v>
      </c>
      <c r="F1960" s="4" t="s">
        <v>9</v>
      </c>
      <c r="G1960" s="4" t="s">
        <v>1680</v>
      </c>
      <c r="H1960" s="6" t="s">
        <v>11</v>
      </c>
    </row>
    <row r="1961" spans="1:8" x14ac:dyDescent="0.25">
      <c r="A1961" s="4" t="str">
        <f>"CHOPE MOON HAZY - 300ML "</f>
        <v xml:space="preserve">CHOPE MOON HAZY - 300ML </v>
      </c>
      <c r="B1961" s="4" t="s">
        <v>12</v>
      </c>
      <c r="C1961" s="5">
        <v>20</v>
      </c>
      <c r="D1961" s="5">
        <v>7.2</v>
      </c>
      <c r="F1961" s="4" t="s">
        <v>9</v>
      </c>
      <c r="G1961" s="4" t="s">
        <v>1682</v>
      </c>
      <c r="H1961" s="6" t="s">
        <v>11</v>
      </c>
    </row>
    <row r="1962" spans="1:8" x14ac:dyDescent="0.25">
      <c r="A1962" s="4" t="str">
        <f>"CHOPE MOON HAZY - 400ML "</f>
        <v xml:space="preserve">CHOPE MOON HAZY - 400ML </v>
      </c>
      <c r="B1962" s="4" t="s">
        <v>12</v>
      </c>
      <c r="C1962" s="5">
        <v>25</v>
      </c>
      <c r="D1962" s="5">
        <v>7.2</v>
      </c>
      <c r="F1962" s="4" t="s">
        <v>9</v>
      </c>
      <c r="G1962" s="4" t="s">
        <v>1683</v>
      </c>
      <c r="H1962" s="6" t="s">
        <v>11</v>
      </c>
    </row>
    <row r="1963" spans="1:8" x14ac:dyDescent="0.25">
      <c r="A1963" s="4" t="str">
        <f>"CHOPE MOON WVEZ - 300ML "</f>
        <v xml:space="preserve">CHOPE MOON WVEZ - 300ML </v>
      </c>
      <c r="B1963" s="4" t="s">
        <v>12</v>
      </c>
      <c r="C1963" s="5">
        <v>20</v>
      </c>
      <c r="D1963" s="5">
        <v>7.77</v>
      </c>
      <c r="F1963" s="4" t="s">
        <v>9</v>
      </c>
      <c r="G1963" s="4" t="s">
        <v>1685</v>
      </c>
      <c r="H1963" s="6" t="s">
        <v>11</v>
      </c>
    </row>
    <row r="1964" spans="1:8" x14ac:dyDescent="0.25">
      <c r="A1964" s="4" t="s">
        <v>1686</v>
      </c>
      <c r="B1964" s="4" t="s">
        <v>12</v>
      </c>
      <c r="C1964" s="5">
        <v>25</v>
      </c>
      <c r="D1964" s="5">
        <v>10.36</v>
      </c>
      <c r="F1964" s="4" t="s">
        <v>9</v>
      </c>
      <c r="G1964" s="4" t="s">
        <v>1687</v>
      </c>
      <c r="H1964" s="6" t="s">
        <v>11</v>
      </c>
    </row>
    <row r="1965" spans="1:8" x14ac:dyDescent="0.25">
      <c r="A1965" s="4" t="s">
        <v>1688</v>
      </c>
      <c r="B1965" s="4" t="s">
        <v>12</v>
      </c>
      <c r="C1965" s="5">
        <v>20</v>
      </c>
      <c r="D1965" s="5">
        <v>5.4</v>
      </c>
      <c r="F1965" s="4" t="s">
        <v>9</v>
      </c>
      <c r="G1965" s="4" t="s">
        <v>1689</v>
      </c>
      <c r="H1965" s="6" t="s">
        <v>11</v>
      </c>
    </row>
    <row r="1966" spans="1:8" x14ac:dyDescent="0.25">
      <c r="A1966" s="4" t="str">
        <f>"CHOPE MOONDRI  DISCOVERY - 400ML "</f>
        <v xml:space="preserve">CHOPE MOONDRI  DISCOVERY - 400ML </v>
      </c>
      <c r="B1966" s="4" t="s">
        <v>12</v>
      </c>
      <c r="C1966" s="5">
        <v>25</v>
      </c>
      <c r="D1966" s="5">
        <v>7.2</v>
      </c>
      <c r="F1966" s="4" t="s">
        <v>9</v>
      </c>
      <c r="G1966" s="4" t="s">
        <v>1690</v>
      </c>
      <c r="H1966" s="6" t="s">
        <v>11</v>
      </c>
    </row>
    <row r="1967" spans="1:8" x14ac:dyDescent="0.25">
      <c r="A1967" s="4" t="s">
        <v>1692</v>
      </c>
      <c r="B1967" s="4" t="s">
        <v>12</v>
      </c>
      <c r="C1967" s="5">
        <v>20</v>
      </c>
      <c r="D1967" s="5">
        <v>7.5</v>
      </c>
      <c r="F1967" s="4" t="s">
        <v>9</v>
      </c>
      <c r="G1967" s="4" t="s">
        <v>1693</v>
      </c>
      <c r="H1967" s="6" t="s">
        <v>11</v>
      </c>
    </row>
    <row r="1968" spans="1:8" x14ac:dyDescent="0.25">
      <c r="A1968" s="4" t="str">
        <f>"CHOPE MOONDRI - A LITTLE HELP - NEIPA - 400ML "</f>
        <v xml:space="preserve">CHOPE MOONDRI - A LITTLE HELP - NEIPA - 400ML </v>
      </c>
      <c r="B1968" s="4" t="s">
        <v>12</v>
      </c>
      <c r="C1968" s="5">
        <v>25</v>
      </c>
      <c r="D1968" s="5">
        <v>10</v>
      </c>
      <c r="F1968" s="4" t="s">
        <v>9</v>
      </c>
      <c r="G1968" s="4" t="s">
        <v>1694</v>
      </c>
      <c r="H1968" s="6" t="s">
        <v>11</v>
      </c>
    </row>
    <row r="1969" spans="1:8" x14ac:dyDescent="0.25">
      <c r="A1969" s="4" t="s">
        <v>1695</v>
      </c>
      <c r="B1969" s="4" t="s">
        <v>12</v>
      </c>
      <c r="D1969" s="5">
        <v>25</v>
      </c>
      <c r="F1969" s="4" t="s">
        <v>9</v>
      </c>
      <c r="G1969" s="4" t="s">
        <v>1696</v>
      </c>
      <c r="H1969" s="6" t="s">
        <v>11</v>
      </c>
    </row>
    <row r="1970" spans="1:8" x14ac:dyDescent="0.25">
      <c r="A1970" s="4" t="str">
        <f>"CHOPE MOONDRI JUICED  - ESTOQUE "</f>
        <v xml:space="preserve">CHOPE MOONDRI JUICED  - ESTOQUE </v>
      </c>
      <c r="B1970" s="4" t="s">
        <v>12</v>
      </c>
      <c r="D1970" s="5">
        <v>24</v>
      </c>
      <c r="F1970" s="4" t="s">
        <v>59</v>
      </c>
      <c r="G1970" s="4" t="s">
        <v>1697</v>
      </c>
      <c r="H1970" s="6" t="s">
        <v>11</v>
      </c>
    </row>
    <row r="1971" spans="1:8" x14ac:dyDescent="0.25">
      <c r="A1971" s="4" t="s">
        <v>1699</v>
      </c>
      <c r="B1971" s="4" t="s">
        <v>12</v>
      </c>
      <c r="C1971" s="5">
        <v>20</v>
      </c>
      <c r="D1971" s="5">
        <v>6</v>
      </c>
      <c r="F1971" s="4" t="s">
        <v>9</v>
      </c>
      <c r="G1971" s="4" t="s">
        <v>1700</v>
      </c>
      <c r="H1971" s="6" t="s">
        <v>11</v>
      </c>
    </row>
    <row r="1972" spans="1:8" x14ac:dyDescent="0.25">
      <c r="A1972" s="4" t="str">
        <f>"CHOPE MOONDRI MOON BALANCE SESSION NEIPA 400ML "</f>
        <v xml:space="preserve">CHOPE MOONDRI MOON BALANCE SESSION NEIPA 400ML </v>
      </c>
      <c r="B1972" s="4" t="s">
        <v>12</v>
      </c>
      <c r="C1972" s="5">
        <v>25</v>
      </c>
      <c r="D1972" s="5">
        <v>8</v>
      </c>
      <c r="F1972" s="4" t="s">
        <v>9</v>
      </c>
      <c r="G1972" s="4" t="s">
        <v>1701</v>
      </c>
      <c r="H1972" s="6" t="s">
        <v>11</v>
      </c>
    </row>
    <row r="1973" spans="1:8" x14ac:dyDescent="0.25">
      <c r="A1973" s="4" t="str">
        <f>"CHOPE MOONDRI MOON HAZY - ESTOQUE "</f>
        <v xml:space="preserve">CHOPE MOONDRI MOON HAZY - ESTOQUE </v>
      </c>
      <c r="B1973" s="4" t="s">
        <v>12</v>
      </c>
      <c r="D1973" s="5">
        <v>24</v>
      </c>
      <c r="F1973" s="4" t="s">
        <v>9</v>
      </c>
      <c r="G1973" s="4" t="s">
        <v>1702</v>
      </c>
      <c r="H1973" s="6" t="s">
        <v>11</v>
      </c>
    </row>
    <row r="1974" spans="1:8" x14ac:dyDescent="0.25">
      <c r="A1974" s="4" t="s">
        <v>1703</v>
      </c>
      <c r="B1974" s="4" t="s">
        <v>12</v>
      </c>
      <c r="C1974" s="5">
        <v>30</v>
      </c>
      <c r="D1974" s="5">
        <v>6.25</v>
      </c>
      <c r="F1974" s="4" t="s">
        <v>9</v>
      </c>
      <c r="G1974" s="4" t="s">
        <v>1704</v>
      </c>
      <c r="H1974" s="6" t="s">
        <v>11</v>
      </c>
    </row>
    <row r="1975" spans="1:8" x14ac:dyDescent="0.25">
      <c r="A1975" s="4" t="s">
        <v>1707</v>
      </c>
      <c r="B1975" s="4" t="s">
        <v>12</v>
      </c>
      <c r="C1975" s="5">
        <v>20</v>
      </c>
      <c r="D1975" s="5">
        <v>5.7</v>
      </c>
      <c r="F1975" s="4" t="s">
        <v>9</v>
      </c>
      <c r="G1975" s="4" t="s">
        <v>1708</v>
      </c>
      <c r="H1975" s="6" t="s">
        <v>11</v>
      </c>
    </row>
    <row r="1976" spans="1:8" x14ac:dyDescent="0.25">
      <c r="A1976" s="4" t="str">
        <f>"CHOPE MOONDRI SHINE AMERICAN IPA - 400ML "</f>
        <v xml:space="preserve">CHOPE MOONDRI SHINE AMERICAN IPA - 400ML </v>
      </c>
      <c r="B1976" s="4" t="s">
        <v>12</v>
      </c>
      <c r="C1976" s="5">
        <v>25</v>
      </c>
      <c r="D1976" s="5">
        <v>7.6</v>
      </c>
      <c r="F1976" s="4" t="s">
        <v>9</v>
      </c>
      <c r="G1976" s="4" t="s">
        <v>1709</v>
      </c>
      <c r="H1976" s="6" t="s">
        <v>11</v>
      </c>
    </row>
    <row r="1977" spans="1:8" x14ac:dyDescent="0.25">
      <c r="A1977" s="4" t="str">
        <f>"CHOPE MOONDRI URBAN MOON WCIPA - 300ML "</f>
        <v xml:space="preserve">CHOPE MOONDRI URBAN MOON WCIPA - 300ML </v>
      </c>
      <c r="B1977" s="4" t="s">
        <v>12</v>
      </c>
      <c r="C1977" s="5">
        <v>20</v>
      </c>
      <c r="D1977" s="5">
        <v>7.5</v>
      </c>
      <c r="F1977" s="4" t="s">
        <v>9</v>
      </c>
      <c r="G1977" s="4" t="s">
        <v>1711</v>
      </c>
      <c r="H1977" s="6" t="s">
        <v>11</v>
      </c>
    </row>
    <row r="1978" spans="1:8" x14ac:dyDescent="0.25">
      <c r="A1978" s="4" t="str">
        <f>"CHOPE MOONDRI URBAN MOON WCIPA - 400ML "</f>
        <v xml:space="preserve">CHOPE MOONDRI URBAN MOON WCIPA - 400ML </v>
      </c>
      <c r="B1978" s="4" t="s">
        <v>12</v>
      </c>
      <c r="C1978" s="5">
        <v>25</v>
      </c>
      <c r="D1978" s="5">
        <v>10</v>
      </c>
      <c r="F1978" s="4" t="s">
        <v>9</v>
      </c>
      <c r="G1978" s="4" t="s">
        <v>1712</v>
      </c>
      <c r="H1978" s="6" t="s">
        <v>11</v>
      </c>
    </row>
    <row r="1979" spans="1:8" x14ac:dyDescent="0.25">
      <c r="A1979" s="4" t="s">
        <v>1716</v>
      </c>
      <c r="B1979" s="4" t="s">
        <v>12</v>
      </c>
      <c r="C1979" s="5">
        <v>20</v>
      </c>
      <c r="D1979" s="5">
        <v>6.27</v>
      </c>
      <c r="F1979" s="4" t="s">
        <v>9</v>
      </c>
      <c r="G1979" s="4" t="s">
        <v>1717</v>
      </c>
      <c r="H1979" s="6" t="s">
        <v>11</v>
      </c>
    </row>
    <row r="1980" spans="1:8" x14ac:dyDescent="0.25">
      <c r="A1980" s="4" t="s">
        <v>1718</v>
      </c>
      <c r="B1980" s="4" t="s">
        <v>12</v>
      </c>
      <c r="C1980" s="5">
        <v>25</v>
      </c>
      <c r="D1980" s="5">
        <v>8.36</v>
      </c>
      <c r="F1980" s="4" t="s">
        <v>9</v>
      </c>
      <c r="G1980" s="4" t="s">
        <v>1719</v>
      </c>
      <c r="H1980" s="6" t="s">
        <v>11</v>
      </c>
    </row>
    <row r="1981" spans="1:8" x14ac:dyDescent="0.25">
      <c r="A1981" s="4" t="str">
        <f>"CHOPE MORE HOP IPA- 300ML "</f>
        <v xml:space="preserve">CHOPE MORE HOP IPA- 300ML </v>
      </c>
      <c r="B1981" s="4" t="s">
        <v>12</v>
      </c>
      <c r="C1981" s="5">
        <v>20</v>
      </c>
      <c r="D1981" s="5">
        <v>5.41</v>
      </c>
      <c r="F1981" s="4" t="s">
        <v>9</v>
      </c>
      <c r="G1981" s="4" t="s">
        <v>1722</v>
      </c>
      <c r="H1981" s="6" t="s">
        <v>11</v>
      </c>
    </row>
    <row r="1982" spans="1:8" x14ac:dyDescent="0.25">
      <c r="A1982" s="4" t="str">
        <f>"CHOPE MORE HOP IPA- 400ML "</f>
        <v xml:space="preserve">CHOPE MORE HOP IPA- 400ML </v>
      </c>
      <c r="B1982" s="4" t="s">
        <v>12</v>
      </c>
      <c r="C1982" s="5">
        <v>25</v>
      </c>
      <c r="D1982" s="5">
        <v>7.21</v>
      </c>
      <c r="F1982" s="4" t="s">
        <v>9</v>
      </c>
      <c r="G1982" s="4" t="s">
        <v>1723</v>
      </c>
      <c r="H1982" s="6" t="s">
        <v>11</v>
      </c>
    </row>
    <row r="1983" spans="1:8" x14ac:dyDescent="0.25">
      <c r="A1983" s="4" t="s">
        <v>1724</v>
      </c>
      <c r="B1983" s="4" t="s">
        <v>12</v>
      </c>
      <c r="C1983" s="5">
        <v>20</v>
      </c>
      <c r="D1983" s="5">
        <v>5.88</v>
      </c>
      <c r="F1983" s="4" t="s">
        <v>9</v>
      </c>
      <c r="G1983" s="4" t="s">
        <v>1725</v>
      </c>
      <c r="H1983" s="6" t="s">
        <v>11</v>
      </c>
    </row>
    <row r="1984" spans="1:8" x14ac:dyDescent="0.25">
      <c r="A1984" s="4" t="s">
        <v>1726</v>
      </c>
      <c r="B1984" s="4" t="s">
        <v>12</v>
      </c>
      <c r="C1984" s="5">
        <v>25</v>
      </c>
      <c r="D1984" s="5">
        <v>7.84</v>
      </c>
      <c r="F1984" s="4" t="s">
        <v>9</v>
      </c>
      <c r="G1984" s="4" t="s">
        <v>1727</v>
      </c>
      <c r="H1984" s="6" t="s">
        <v>11</v>
      </c>
    </row>
    <row r="1985" spans="1:8" x14ac:dyDescent="0.25">
      <c r="A1985" s="4" t="s">
        <v>1728</v>
      </c>
      <c r="B1985" s="4" t="s">
        <v>12</v>
      </c>
      <c r="C1985" s="5">
        <v>17</v>
      </c>
      <c r="D1985" s="5">
        <v>2.89</v>
      </c>
      <c r="F1985" s="4" t="s">
        <v>9</v>
      </c>
      <c r="G1985" s="4" t="s">
        <v>1729</v>
      </c>
      <c r="H1985" s="6" t="s">
        <v>11</v>
      </c>
    </row>
    <row r="1986" spans="1:8" x14ac:dyDescent="0.25">
      <c r="A1986" s="4" t="s">
        <v>1730</v>
      </c>
      <c r="B1986" s="4" t="s">
        <v>12</v>
      </c>
      <c r="C1986" s="5">
        <v>20</v>
      </c>
      <c r="D1986" s="5">
        <v>3.86</v>
      </c>
      <c r="F1986" s="4" t="s">
        <v>9</v>
      </c>
      <c r="G1986" s="4" t="s">
        <v>1731</v>
      </c>
      <c r="H1986" s="6" t="s">
        <v>11</v>
      </c>
    </row>
    <row r="1987" spans="1:8" x14ac:dyDescent="0.25">
      <c r="A1987" s="4" t="s">
        <v>1732</v>
      </c>
      <c r="B1987" s="4" t="s">
        <v>12</v>
      </c>
      <c r="C1987" s="5">
        <v>20</v>
      </c>
      <c r="D1987" s="5">
        <v>6.06</v>
      </c>
      <c r="F1987" s="4" t="s">
        <v>9</v>
      </c>
      <c r="G1987" s="4" t="s">
        <v>1733</v>
      </c>
      <c r="H1987" s="6" t="s">
        <v>11</v>
      </c>
    </row>
    <row r="1988" spans="1:8" x14ac:dyDescent="0.25">
      <c r="A1988" s="4" t="s">
        <v>1734</v>
      </c>
      <c r="B1988" s="4" t="s">
        <v>12</v>
      </c>
      <c r="C1988" s="5">
        <v>25</v>
      </c>
      <c r="D1988" s="5">
        <v>6.06</v>
      </c>
      <c r="F1988" s="4" t="s">
        <v>9</v>
      </c>
      <c r="G1988" s="4" t="s">
        <v>1735</v>
      </c>
      <c r="H1988" s="6" t="s">
        <v>11</v>
      </c>
    </row>
    <row r="1989" spans="1:8" x14ac:dyDescent="0.25">
      <c r="A1989" s="4" t="s">
        <v>1738</v>
      </c>
      <c r="B1989" s="4" t="s">
        <v>12</v>
      </c>
      <c r="C1989" s="5">
        <v>20</v>
      </c>
      <c r="D1989" s="5">
        <v>7.03</v>
      </c>
      <c r="F1989" s="4" t="s">
        <v>9</v>
      </c>
      <c r="G1989" s="4" t="s">
        <v>1739</v>
      </c>
      <c r="H1989" s="6" t="s">
        <v>11</v>
      </c>
    </row>
    <row r="1990" spans="1:8" x14ac:dyDescent="0.25">
      <c r="A1990" s="4" t="str">
        <f>"CHOPE NEW SENSATION- 400ML "</f>
        <v xml:space="preserve">CHOPE NEW SENSATION- 400ML </v>
      </c>
      <c r="B1990" s="4" t="s">
        <v>12</v>
      </c>
      <c r="C1990" s="5">
        <v>25</v>
      </c>
      <c r="D1990" s="5">
        <v>9.3699999999999992</v>
      </c>
      <c r="F1990" s="4" t="s">
        <v>9</v>
      </c>
      <c r="G1990" s="4" t="s">
        <v>1740</v>
      </c>
      <c r="H1990" s="6" t="s">
        <v>11</v>
      </c>
    </row>
    <row r="1991" spans="1:8" x14ac:dyDescent="0.25">
      <c r="A1991" s="4" t="str">
        <f>"CHOPE NEW ZEALAND- HAZY IPA 400ML "</f>
        <v xml:space="preserve">CHOPE NEW ZEALAND- HAZY IPA 400ML </v>
      </c>
      <c r="B1991" s="4" t="s">
        <v>12</v>
      </c>
      <c r="C1991" s="5">
        <v>25</v>
      </c>
      <c r="D1991" s="5">
        <v>9.6</v>
      </c>
      <c r="F1991" s="4" t="s">
        <v>9</v>
      </c>
      <c r="G1991" s="4" t="s">
        <v>1743</v>
      </c>
      <c r="H1991" s="6" t="s">
        <v>11</v>
      </c>
    </row>
    <row r="1992" spans="1:8" x14ac:dyDescent="0.25">
      <c r="A1992" s="4" t="s">
        <v>1746</v>
      </c>
      <c r="B1992" s="4" t="s">
        <v>12</v>
      </c>
      <c r="C1992" s="5">
        <v>30</v>
      </c>
      <c r="D1992" s="5">
        <v>0.67</v>
      </c>
      <c r="F1992" s="4" t="s">
        <v>9</v>
      </c>
      <c r="G1992" s="4" t="s">
        <v>1747</v>
      </c>
      <c r="H1992" s="6" t="s">
        <v>11</v>
      </c>
    </row>
    <row r="1993" spans="1:8" x14ac:dyDescent="0.25">
      <c r="A1993" s="4" t="s">
        <v>1749</v>
      </c>
      <c r="B1993" s="4" t="s">
        <v>12</v>
      </c>
      <c r="C1993" s="5">
        <v>20</v>
      </c>
      <c r="D1993" s="5">
        <v>5.4</v>
      </c>
      <c r="F1993" s="4" t="s">
        <v>9</v>
      </c>
      <c r="G1993" s="4" t="s">
        <v>1750</v>
      </c>
      <c r="H1993" s="6" t="s">
        <v>11</v>
      </c>
    </row>
    <row r="1994" spans="1:8" x14ac:dyDescent="0.25">
      <c r="A1994" s="4" t="str">
        <f>"CHOPE NUT BIER BLACK SHITAK DRY STOUT - 400ML "</f>
        <v xml:space="preserve">CHOPE NUT BIER BLACK SHITAK DRY STOUT - 400ML </v>
      </c>
      <c r="B1994" s="4" t="s">
        <v>12</v>
      </c>
      <c r="C1994" s="5">
        <v>25</v>
      </c>
      <c r="D1994" s="5">
        <v>7.2</v>
      </c>
      <c r="F1994" s="4" t="s">
        <v>9</v>
      </c>
      <c r="G1994" s="4" t="s">
        <v>1751</v>
      </c>
      <c r="H1994" s="6" t="s">
        <v>11</v>
      </c>
    </row>
    <row r="1995" spans="1:8" x14ac:dyDescent="0.25">
      <c r="A1995" s="4" t="str">
        <f>"CHOPE NUT BIER CALLISTA- 300ML "</f>
        <v xml:space="preserve">CHOPE NUT BIER CALLISTA- 300ML </v>
      </c>
      <c r="B1995" s="4" t="s">
        <v>12</v>
      </c>
      <c r="C1995" s="5">
        <v>20</v>
      </c>
      <c r="D1995" s="5">
        <v>5.4</v>
      </c>
      <c r="F1995" s="4" t="s">
        <v>9</v>
      </c>
      <c r="G1995" s="4" t="s">
        <v>1753</v>
      </c>
      <c r="H1995" s="6" t="s">
        <v>11</v>
      </c>
    </row>
    <row r="1996" spans="1:8" x14ac:dyDescent="0.25">
      <c r="A1996" s="4" t="s">
        <v>1754</v>
      </c>
      <c r="B1996" s="4" t="s">
        <v>12</v>
      </c>
      <c r="C1996" s="5">
        <v>25</v>
      </c>
      <c r="D1996" s="5">
        <v>7.2</v>
      </c>
      <c r="F1996" s="4" t="s">
        <v>9</v>
      </c>
      <c r="G1996" s="4" t="s">
        <v>1755</v>
      </c>
      <c r="H1996" s="6" t="s">
        <v>11</v>
      </c>
    </row>
    <row r="1997" spans="1:8" x14ac:dyDescent="0.25">
      <c r="A1997" s="4" t="s">
        <v>1757</v>
      </c>
      <c r="B1997" s="4" t="s">
        <v>12</v>
      </c>
      <c r="C1997" s="5">
        <v>20</v>
      </c>
      <c r="D1997" s="5">
        <v>10</v>
      </c>
      <c r="F1997" s="4" t="s">
        <v>9</v>
      </c>
      <c r="G1997" s="4" t="s">
        <v>1758</v>
      </c>
      <c r="H1997" s="6" t="s">
        <v>11</v>
      </c>
    </row>
    <row r="1998" spans="1:8" x14ac:dyDescent="0.25">
      <c r="A1998" s="4" t="s">
        <v>1759</v>
      </c>
      <c r="B1998" s="4" t="s">
        <v>12</v>
      </c>
      <c r="C1998" s="5">
        <v>25</v>
      </c>
      <c r="D1998" s="5">
        <v>10</v>
      </c>
      <c r="F1998" s="4" t="s">
        <v>9</v>
      </c>
      <c r="G1998" s="4" t="s">
        <v>1760</v>
      </c>
      <c r="H1998" s="6" t="s">
        <v>11</v>
      </c>
    </row>
    <row r="1999" spans="1:8" x14ac:dyDescent="0.25">
      <c r="A1999" s="4" t="str">
        <f>"CHOPE ODIN WITIBIER   300ML - "</f>
        <v xml:space="preserve">CHOPE ODIN WITIBIER   300ML - </v>
      </c>
      <c r="B1999" s="4" t="s">
        <v>12</v>
      </c>
      <c r="C1999" s="5">
        <v>20</v>
      </c>
      <c r="D1999" s="5">
        <v>4.7699999999999996</v>
      </c>
      <c r="F1999" s="4" t="s">
        <v>9</v>
      </c>
      <c r="G1999" s="4" t="s">
        <v>1762</v>
      </c>
      <c r="H1999" s="6" t="s">
        <v>11</v>
      </c>
    </row>
    <row r="2000" spans="1:8" x14ac:dyDescent="0.25">
      <c r="A2000" s="4" t="str">
        <f>"CHOPE ODIN WITIBIER 400ML "</f>
        <v xml:space="preserve">CHOPE ODIN WITIBIER 400ML </v>
      </c>
      <c r="B2000" s="4" t="s">
        <v>12</v>
      </c>
      <c r="C2000" s="5">
        <v>25</v>
      </c>
      <c r="D2000" s="5">
        <v>6.36</v>
      </c>
      <c r="F2000" s="4" t="s">
        <v>9</v>
      </c>
      <c r="G2000" s="4" t="s">
        <v>1763</v>
      </c>
      <c r="H2000" s="6" t="s">
        <v>11</v>
      </c>
    </row>
    <row r="2001" spans="1:8" x14ac:dyDescent="0.25">
      <c r="A2001" s="4" t="s">
        <v>1765</v>
      </c>
      <c r="B2001" s="4" t="s">
        <v>12</v>
      </c>
      <c r="C2001" s="5">
        <v>20</v>
      </c>
      <c r="D2001" s="5">
        <v>5.7</v>
      </c>
      <c r="F2001" s="4" t="s">
        <v>9</v>
      </c>
      <c r="G2001" s="4" t="s">
        <v>1766</v>
      </c>
      <c r="H2001" s="6" t="s">
        <v>11</v>
      </c>
    </row>
    <row r="2002" spans="1:8" x14ac:dyDescent="0.25">
      <c r="A2002" s="4" t="str">
        <f>"CHOPE OI BEER THOR BELGIAN IPA  400ML "</f>
        <v xml:space="preserve">CHOPE OI BEER THOR BELGIAN IPA  400ML </v>
      </c>
      <c r="B2002" s="4" t="s">
        <v>12</v>
      </c>
      <c r="C2002" s="5">
        <v>25</v>
      </c>
      <c r="D2002" s="5">
        <v>7.6</v>
      </c>
      <c r="F2002" s="4" t="s">
        <v>9</v>
      </c>
      <c r="G2002" s="4" t="s">
        <v>1767</v>
      </c>
      <c r="H2002" s="6" t="s">
        <v>11</v>
      </c>
    </row>
    <row r="2003" spans="1:8" x14ac:dyDescent="0.25">
      <c r="A2003" s="4" t="s">
        <v>1770</v>
      </c>
      <c r="B2003" s="4" t="s">
        <v>12</v>
      </c>
      <c r="C2003" s="5">
        <v>25</v>
      </c>
      <c r="D2003" s="5">
        <v>7.6</v>
      </c>
      <c r="F2003" s="4" t="s">
        <v>9</v>
      </c>
      <c r="G2003" s="4" t="s">
        <v>1771</v>
      </c>
      <c r="H2003" s="6" t="s">
        <v>11</v>
      </c>
    </row>
    <row r="2004" spans="1:8" x14ac:dyDescent="0.25">
      <c r="A2004" s="4" t="str">
        <f>"CHOPE OL BEER OVERSSEAS- 300ML "</f>
        <v xml:space="preserve">CHOPE OL BEER OVERSSEAS- 300ML </v>
      </c>
      <c r="B2004" s="4" t="s">
        <v>12</v>
      </c>
      <c r="C2004" s="5">
        <v>20</v>
      </c>
      <c r="D2004" s="5">
        <v>5.07</v>
      </c>
      <c r="F2004" s="4" t="s">
        <v>9</v>
      </c>
      <c r="G2004" s="4" t="s">
        <v>1773</v>
      </c>
      <c r="H2004" s="6" t="s">
        <v>11</v>
      </c>
    </row>
    <row r="2005" spans="1:8" x14ac:dyDescent="0.25">
      <c r="A2005" s="4" t="str">
        <f>"CHOPE OL BEER OVERSSEAS- 400ML "</f>
        <v xml:space="preserve">CHOPE OL BEER OVERSSEAS- 400ML </v>
      </c>
      <c r="B2005" s="4" t="s">
        <v>12</v>
      </c>
      <c r="C2005" s="5">
        <v>25</v>
      </c>
      <c r="D2005" s="5">
        <v>6.76</v>
      </c>
      <c r="F2005" s="4" t="s">
        <v>9</v>
      </c>
      <c r="G2005" s="4" t="s">
        <v>1774</v>
      </c>
      <c r="H2005" s="6" t="s">
        <v>11</v>
      </c>
    </row>
    <row r="2006" spans="1:8" x14ac:dyDescent="0.25">
      <c r="A2006" s="4" t="s">
        <v>1775</v>
      </c>
      <c r="B2006" s="4" t="s">
        <v>12</v>
      </c>
      <c r="C2006" s="5">
        <v>20</v>
      </c>
      <c r="D2006" s="5">
        <v>5.97</v>
      </c>
      <c r="F2006" s="4" t="s">
        <v>9</v>
      </c>
      <c r="G2006" s="4" t="s">
        <v>1776</v>
      </c>
      <c r="H2006" s="6" t="s">
        <v>11</v>
      </c>
    </row>
    <row r="2007" spans="1:8" x14ac:dyDescent="0.25">
      <c r="A2007" s="4" t="str">
        <f>"CHOPE OL BEER SALINAS GOSE - 400ML "</f>
        <v xml:space="preserve">CHOPE OL BEER SALINAS GOSE - 400ML </v>
      </c>
      <c r="B2007" s="4" t="s">
        <v>12</v>
      </c>
      <c r="C2007" s="5">
        <v>25</v>
      </c>
      <c r="D2007" s="5">
        <v>7.96</v>
      </c>
      <c r="F2007" s="4" t="s">
        <v>9</v>
      </c>
      <c r="G2007" s="4" t="s">
        <v>1777</v>
      </c>
      <c r="H2007" s="6" t="s">
        <v>11</v>
      </c>
    </row>
    <row r="2008" spans="1:8" x14ac:dyDescent="0.25">
      <c r="A2008" s="4" t="s">
        <v>1780</v>
      </c>
      <c r="B2008" s="4" t="s">
        <v>12</v>
      </c>
      <c r="C2008" s="5">
        <v>25</v>
      </c>
      <c r="D2008" s="5">
        <v>0.45</v>
      </c>
      <c r="F2008" s="4" t="s">
        <v>9</v>
      </c>
      <c r="G2008" s="4" t="s">
        <v>1781</v>
      </c>
      <c r="H2008" s="6" t="s">
        <v>11</v>
      </c>
    </row>
    <row r="2009" spans="1:8" x14ac:dyDescent="0.25">
      <c r="A2009" s="4" t="s">
        <v>1783</v>
      </c>
      <c r="B2009" s="4" t="s">
        <v>12</v>
      </c>
      <c r="C2009" s="5">
        <v>20</v>
      </c>
      <c r="D2009" s="5">
        <v>6.57</v>
      </c>
      <c r="F2009" s="4" t="s">
        <v>9</v>
      </c>
      <c r="G2009" s="4" t="s">
        <v>1784</v>
      </c>
      <c r="H2009" s="6" t="s">
        <v>11</v>
      </c>
    </row>
    <row r="2010" spans="1:8" x14ac:dyDescent="0.25">
      <c r="A2010" s="4" t="str">
        <f>"CHOPE OLD CAR CHRISTINE PUMPK IN - 400ML "</f>
        <v xml:space="preserve">CHOPE OLD CAR CHRISTINE PUMPK IN - 400ML </v>
      </c>
      <c r="B2010" s="4" t="s">
        <v>12</v>
      </c>
      <c r="C2010" s="5">
        <v>25</v>
      </c>
      <c r="D2010" s="5">
        <v>8.76</v>
      </c>
      <c r="F2010" s="4" t="s">
        <v>9</v>
      </c>
      <c r="G2010" s="4" t="s">
        <v>1785</v>
      </c>
      <c r="H2010" s="6" t="s">
        <v>11</v>
      </c>
    </row>
    <row r="2011" spans="1:8" x14ac:dyDescent="0.25">
      <c r="A2011" s="4" t="s">
        <v>1788</v>
      </c>
      <c r="B2011" s="4" t="s">
        <v>12</v>
      </c>
      <c r="C2011" s="5">
        <v>25</v>
      </c>
      <c r="D2011" s="5">
        <v>7.5</v>
      </c>
      <c r="F2011" s="4" t="s">
        <v>9</v>
      </c>
      <c r="G2011" s="4" t="s">
        <v>1789</v>
      </c>
      <c r="H2011" s="6" t="s">
        <v>11</v>
      </c>
    </row>
    <row r="2012" spans="1:8" x14ac:dyDescent="0.25">
      <c r="A2012" s="4" t="s">
        <v>1790</v>
      </c>
      <c r="B2012" s="4" t="s">
        <v>12</v>
      </c>
      <c r="C2012" s="5">
        <v>30</v>
      </c>
      <c r="D2012" s="5">
        <v>10</v>
      </c>
      <c r="F2012" s="4" t="s">
        <v>9</v>
      </c>
      <c r="G2012" s="4" t="s">
        <v>1791</v>
      </c>
      <c r="H2012" s="6" t="s">
        <v>11</v>
      </c>
    </row>
    <row r="2013" spans="1:8" x14ac:dyDescent="0.25">
      <c r="A2013" s="4" t="s">
        <v>1794</v>
      </c>
      <c r="B2013" s="4" t="s">
        <v>12</v>
      </c>
      <c r="C2013" s="5">
        <v>20</v>
      </c>
      <c r="D2013" s="5">
        <v>7.5</v>
      </c>
      <c r="F2013" s="4" t="s">
        <v>9</v>
      </c>
      <c r="G2013" s="4" t="s">
        <v>1795</v>
      </c>
      <c r="H2013" s="6" t="s">
        <v>11</v>
      </c>
    </row>
    <row r="2014" spans="1:8" x14ac:dyDescent="0.25">
      <c r="A2014" s="4" t="str">
        <f>"CHOPE OLD CAR HOPSTER DOUBLE IPA 400ML "</f>
        <v xml:space="preserve">CHOPE OLD CAR HOPSTER DOUBLE IPA 400ML </v>
      </c>
      <c r="B2014" s="4" t="s">
        <v>12</v>
      </c>
      <c r="C2014" s="5">
        <v>25</v>
      </c>
      <c r="D2014" s="5">
        <v>10</v>
      </c>
      <c r="F2014" s="4" t="s">
        <v>9</v>
      </c>
      <c r="G2014" s="4" t="s">
        <v>1796</v>
      </c>
      <c r="H2014" s="6" t="s">
        <v>11</v>
      </c>
    </row>
    <row r="2015" spans="1:8" x14ac:dyDescent="0.25">
      <c r="A2015" s="4" t="str">
        <f>"CHOPE OLD CAR RED DART RED ALE 300ML "</f>
        <v xml:space="preserve">CHOPE OLD CAR RED DART RED ALE 300ML </v>
      </c>
      <c r="B2015" s="4" t="s">
        <v>12</v>
      </c>
      <c r="C2015" s="5">
        <v>20</v>
      </c>
      <c r="D2015" s="5">
        <v>4.6500000000000004</v>
      </c>
      <c r="F2015" s="4" t="s">
        <v>9</v>
      </c>
      <c r="G2015" s="4" t="s">
        <v>1798</v>
      </c>
      <c r="H2015" s="6" t="s">
        <v>11</v>
      </c>
    </row>
    <row r="2016" spans="1:8" x14ac:dyDescent="0.25">
      <c r="A2016" s="4" t="s">
        <v>1799</v>
      </c>
      <c r="B2016" s="4" t="s">
        <v>12</v>
      </c>
      <c r="C2016" s="5">
        <v>25</v>
      </c>
      <c r="D2016" s="5">
        <v>6.2</v>
      </c>
      <c r="F2016" s="4" t="s">
        <v>9</v>
      </c>
      <c r="G2016" s="4" t="s">
        <v>1800</v>
      </c>
      <c r="H2016" s="6" t="s">
        <v>11</v>
      </c>
    </row>
    <row r="2017" spans="1:8" x14ac:dyDescent="0.25">
      <c r="A2017" s="4" t="s">
        <v>1801</v>
      </c>
      <c r="B2017" s="4" t="s">
        <v>12</v>
      </c>
      <c r="C2017" s="5">
        <v>35</v>
      </c>
      <c r="D2017" s="5">
        <v>7.07</v>
      </c>
      <c r="F2017" s="4" t="s">
        <v>9</v>
      </c>
      <c r="G2017" s="4" t="s">
        <v>1802</v>
      </c>
      <c r="H2017" s="6" t="s">
        <v>11</v>
      </c>
    </row>
    <row r="2018" spans="1:8" x14ac:dyDescent="0.25">
      <c r="A2018" s="4" t="s">
        <v>1805</v>
      </c>
      <c r="B2018" s="4" t="s">
        <v>12</v>
      </c>
      <c r="C2018" s="5">
        <v>20</v>
      </c>
      <c r="D2018" s="5">
        <v>7.79</v>
      </c>
      <c r="F2018" s="4" t="s">
        <v>9</v>
      </c>
      <c r="G2018" s="4" t="s">
        <v>1806</v>
      </c>
      <c r="H2018" s="6" t="s">
        <v>11</v>
      </c>
    </row>
    <row r="2019" spans="1:8" x14ac:dyDescent="0.25">
      <c r="A2019" s="4" t="s">
        <v>1807</v>
      </c>
      <c r="B2019" s="4" t="s">
        <v>12</v>
      </c>
      <c r="C2019" s="5">
        <v>25</v>
      </c>
      <c r="D2019" s="5">
        <v>10.38</v>
      </c>
      <c r="F2019" s="4" t="s">
        <v>9</v>
      </c>
      <c r="G2019" s="4" t="s">
        <v>1808</v>
      </c>
      <c r="H2019" s="6" t="s">
        <v>11</v>
      </c>
    </row>
    <row r="2020" spans="1:8" x14ac:dyDescent="0.25">
      <c r="A2020" s="4" t="s">
        <v>1809</v>
      </c>
      <c r="B2020" s="4" t="s">
        <v>12</v>
      </c>
      <c r="C2020" s="5">
        <v>20</v>
      </c>
      <c r="D2020" s="5">
        <v>6.75</v>
      </c>
      <c r="F2020" s="4" t="s">
        <v>9</v>
      </c>
      <c r="G2020" s="4" t="s">
        <v>1810</v>
      </c>
      <c r="H2020" s="6" t="s">
        <v>11</v>
      </c>
    </row>
    <row r="2021" spans="1:8" x14ac:dyDescent="0.25">
      <c r="A2021" s="4" t="s">
        <v>1811</v>
      </c>
      <c r="B2021" s="4" t="s">
        <v>12</v>
      </c>
      <c r="C2021" s="5">
        <v>25</v>
      </c>
      <c r="D2021" s="5">
        <v>9</v>
      </c>
      <c r="F2021" s="4" t="s">
        <v>9</v>
      </c>
      <c r="G2021" s="4" t="s">
        <v>1812</v>
      </c>
      <c r="H2021" s="6" t="s">
        <v>11</v>
      </c>
    </row>
    <row r="2022" spans="1:8" x14ac:dyDescent="0.25">
      <c r="A2022" s="4" t="str">
        <f>"CHOPE ONI SORACHI - 300ML "</f>
        <v xml:space="preserve">CHOPE ONI SORACHI - 300ML </v>
      </c>
      <c r="B2022" s="4" t="s">
        <v>12</v>
      </c>
      <c r="C2022" s="5">
        <v>20</v>
      </c>
      <c r="D2022" s="5">
        <v>175.5</v>
      </c>
      <c r="F2022" s="4" t="s">
        <v>9</v>
      </c>
      <c r="G2022" s="4" t="s">
        <v>1813</v>
      </c>
      <c r="H2022" s="6" t="s">
        <v>11</v>
      </c>
    </row>
    <row r="2023" spans="1:8" x14ac:dyDescent="0.25">
      <c r="A2023" s="4" t="str">
        <f>"CHOPE ONI SORACHI - 400ML "</f>
        <v xml:space="preserve">CHOPE ONI SORACHI - 400ML </v>
      </c>
      <c r="B2023" s="4" t="s">
        <v>12</v>
      </c>
      <c r="C2023" s="5">
        <v>25</v>
      </c>
      <c r="D2023" s="5">
        <v>234</v>
      </c>
      <c r="F2023" s="4" t="s">
        <v>9</v>
      </c>
      <c r="G2023" s="4" t="s">
        <v>1814</v>
      </c>
      <c r="H2023" s="6" t="s">
        <v>11</v>
      </c>
    </row>
    <row r="2024" spans="1:8" x14ac:dyDescent="0.25">
      <c r="A2024" s="4" t="s">
        <v>1816</v>
      </c>
      <c r="B2024" s="4" t="s">
        <v>12</v>
      </c>
      <c r="C2024" s="5">
        <v>20</v>
      </c>
      <c r="D2024" s="5">
        <v>7.2</v>
      </c>
      <c r="F2024" s="4" t="s">
        <v>9</v>
      </c>
      <c r="G2024" s="4" t="s">
        <v>1817</v>
      </c>
      <c r="H2024" s="6" t="s">
        <v>11</v>
      </c>
    </row>
    <row r="2025" spans="1:8" x14ac:dyDescent="0.25">
      <c r="A2025" s="4" t="str">
        <f>"CHOPE ORANGE  MOON - NEW ENGLAND 400ML "</f>
        <v xml:space="preserve">CHOPE ORANGE  MOON - NEW ENGLAND 400ML </v>
      </c>
      <c r="B2025" s="4" t="s">
        <v>12</v>
      </c>
      <c r="C2025" s="5">
        <v>25</v>
      </c>
      <c r="D2025" s="5">
        <v>9.6</v>
      </c>
      <c r="F2025" s="4" t="s">
        <v>9</v>
      </c>
      <c r="G2025" s="4" t="s">
        <v>1818</v>
      </c>
      <c r="H2025" s="6" t="s">
        <v>11</v>
      </c>
    </row>
    <row r="2026" spans="1:8" x14ac:dyDescent="0.25">
      <c r="A2026" s="4" t="s">
        <v>1820</v>
      </c>
      <c r="B2026" s="4" t="s">
        <v>12</v>
      </c>
      <c r="C2026" s="5">
        <v>20</v>
      </c>
      <c r="F2026" s="4" t="s">
        <v>9</v>
      </c>
      <c r="G2026" s="4" t="s">
        <v>1821</v>
      </c>
      <c r="H2026" s="6" t="s">
        <v>11</v>
      </c>
    </row>
    <row r="2027" spans="1:8" x14ac:dyDescent="0.25">
      <c r="A2027" s="4" t="s">
        <v>1822</v>
      </c>
      <c r="B2027" s="4" t="s">
        <v>12</v>
      </c>
      <c r="C2027" s="5">
        <v>25</v>
      </c>
      <c r="F2027" s="4" t="s">
        <v>9</v>
      </c>
      <c r="G2027" s="4" t="s">
        <v>1823</v>
      </c>
      <c r="H2027" s="6" t="s">
        <v>11</v>
      </c>
    </row>
    <row r="2028" spans="1:8" x14ac:dyDescent="0.25">
      <c r="A2028" s="4" t="s">
        <v>1824</v>
      </c>
      <c r="B2028" s="4" t="s">
        <v>12</v>
      </c>
      <c r="C2028" s="5">
        <v>25</v>
      </c>
      <c r="D2028" s="5">
        <v>4.7699999999999996</v>
      </c>
      <c r="F2028" s="4" t="s">
        <v>9</v>
      </c>
      <c r="G2028" s="4" t="s">
        <v>1825</v>
      </c>
      <c r="H2028" s="6" t="s">
        <v>11</v>
      </c>
    </row>
    <row r="2029" spans="1:8" x14ac:dyDescent="0.25">
      <c r="A2029" s="4" t="s">
        <v>1826</v>
      </c>
      <c r="B2029" s="4" t="s">
        <v>12</v>
      </c>
      <c r="C2029" s="5">
        <v>30</v>
      </c>
      <c r="D2029" s="5">
        <v>6.36</v>
      </c>
      <c r="F2029" s="4" t="s">
        <v>9</v>
      </c>
      <c r="G2029" s="4" t="s">
        <v>1827</v>
      </c>
      <c r="H2029" s="6" t="s">
        <v>11</v>
      </c>
    </row>
    <row r="2030" spans="1:8" x14ac:dyDescent="0.25">
      <c r="A2030" s="4" t="str">
        <f>"CHOPE OVERJOY#2 - 300ML "</f>
        <v xml:space="preserve">CHOPE OVERJOY#2 - 300ML </v>
      </c>
      <c r="B2030" s="4" t="s">
        <v>12</v>
      </c>
      <c r="C2030" s="5">
        <v>20</v>
      </c>
      <c r="D2030" s="5">
        <v>5.67</v>
      </c>
      <c r="F2030" s="4" t="s">
        <v>9</v>
      </c>
      <c r="G2030" s="4" t="s">
        <v>1833</v>
      </c>
      <c r="H2030" s="6" t="s">
        <v>11</v>
      </c>
    </row>
    <row r="2031" spans="1:8" x14ac:dyDescent="0.25">
      <c r="A2031" s="4" t="str">
        <f>"CHOPE OVERJOY#2 - 400ML "</f>
        <v xml:space="preserve">CHOPE OVERJOY#2 - 400ML </v>
      </c>
      <c r="B2031" s="4" t="s">
        <v>12</v>
      </c>
      <c r="C2031" s="5">
        <v>25</v>
      </c>
      <c r="D2031" s="5">
        <v>5.67</v>
      </c>
      <c r="F2031" s="4" t="s">
        <v>9</v>
      </c>
      <c r="G2031" s="4" t="s">
        <v>1834</v>
      </c>
      <c r="H2031" s="6" t="s">
        <v>11</v>
      </c>
    </row>
    <row r="2032" spans="1:8" x14ac:dyDescent="0.25">
      <c r="A2032" s="4" t="s">
        <v>1835</v>
      </c>
      <c r="B2032" s="4" t="s">
        <v>12</v>
      </c>
      <c r="C2032" s="5">
        <v>20</v>
      </c>
      <c r="D2032" s="5">
        <v>0.02</v>
      </c>
      <c r="F2032" s="4" t="s">
        <v>9</v>
      </c>
      <c r="G2032" s="4" t="s">
        <v>1836</v>
      </c>
      <c r="H2032" s="6" t="s">
        <v>11</v>
      </c>
    </row>
    <row r="2033" spans="1:8" x14ac:dyDescent="0.25">
      <c r="A2033" s="4" t="s">
        <v>1837</v>
      </c>
      <c r="B2033" s="4" t="s">
        <v>12</v>
      </c>
      <c r="C2033" s="5">
        <v>25</v>
      </c>
      <c r="D2033" s="5">
        <v>0.03</v>
      </c>
      <c r="F2033" s="4" t="s">
        <v>9</v>
      </c>
      <c r="G2033" s="4" t="s">
        <v>1838</v>
      </c>
      <c r="H2033" s="6" t="s">
        <v>11</v>
      </c>
    </row>
    <row r="2034" spans="1:8" x14ac:dyDescent="0.25">
      <c r="A2034" s="4" t="s">
        <v>1840</v>
      </c>
      <c r="B2034" s="4" t="s">
        <v>12</v>
      </c>
      <c r="C2034" s="5">
        <v>20</v>
      </c>
      <c r="D2034" s="5">
        <v>5.7</v>
      </c>
      <c r="F2034" s="4" t="s">
        <v>9</v>
      </c>
      <c r="G2034" s="4" t="s">
        <v>1841</v>
      </c>
      <c r="H2034" s="6" t="s">
        <v>11</v>
      </c>
    </row>
    <row r="2035" spans="1:8" x14ac:dyDescent="0.25">
      <c r="A2035" s="4" t="str">
        <f>"CHOPE OVERKILL-400ML "</f>
        <v xml:space="preserve">CHOPE OVERKILL-400ML </v>
      </c>
      <c r="B2035" s="4" t="s">
        <v>12</v>
      </c>
      <c r="C2035" s="5">
        <v>25</v>
      </c>
      <c r="D2035" s="5">
        <v>7.6</v>
      </c>
      <c r="F2035" s="4" t="s">
        <v>9</v>
      </c>
      <c r="G2035" s="4" t="s">
        <v>1842</v>
      </c>
      <c r="H2035" s="6" t="s">
        <v>11</v>
      </c>
    </row>
    <row r="2036" spans="1:8" x14ac:dyDescent="0.25">
      <c r="A2036" s="4" t="str">
        <f>"CHOPE PADRAO CADASTRO - 400ML "</f>
        <v xml:space="preserve">CHOPE PADRAO CADASTRO - 400ML </v>
      </c>
      <c r="B2036" s="4" t="s">
        <v>12</v>
      </c>
      <c r="C2036" s="5">
        <v>25</v>
      </c>
      <c r="D2036" s="5">
        <v>7.6</v>
      </c>
      <c r="F2036" s="4" t="s">
        <v>9</v>
      </c>
      <c r="G2036" s="4" t="s">
        <v>1843</v>
      </c>
      <c r="H2036" s="6" t="s">
        <v>11</v>
      </c>
    </row>
    <row r="2037" spans="1:8" x14ac:dyDescent="0.25">
      <c r="A2037" s="4" t="str">
        <f>"CHOPE PEROLA NEGRA 250ML "</f>
        <v xml:space="preserve">CHOPE PEROLA NEGRA 250ML </v>
      </c>
      <c r="B2037" s="4" t="s">
        <v>12</v>
      </c>
      <c r="C2037" s="5">
        <v>35</v>
      </c>
      <c r="D2037" s="5">
        <v>6.06</v>
      </c>
      <c r="F2037" s="4" t="s">
        <v>9</v>
      </c>
      <c r="G2037" s="4" t="s">
        <v>1848</v>
      </c>
      <c r="H2037" s="6" t="s">
        <v>11</v>
      </c>
    </row>
    <row r="2038" spans="1:8" x14ac:dyDescent="0.25">
      <c r="A2038" s="4" t="str">
        <f>"CHOPE PERVESE - 300ML "</f>
        <v xml:space="preserve">CHOPE PERVESE - 300ML </v>
      </c>
      <c r="B2038" s="4" t="s">
        <v>12</v>
      </c>
      <c r="C2038" s="5">
        <v>20</v>
      </c>
      <c r="D2038" s="5">
        <v>4.55</v>
      </c>
      <c r="F2038" s="4" t="s">
        <v>9</v>
      </c>
      <c r="G2038" s="4" t="s">
        <v>1849</v>
      </c>
      <c r="H2038" s="6" t="s">
        <v>11</v>
      </c>
    </row>
    <row r="2039" spans="1:8" x14ac:dyDescent="0.25">
      <c r="A2039" s="4" t="str">
        <f>"CHOPE PERVESE - 400ML "</f>
        <v xml:space="preserve">CHOPE PERVESE - 400ML </v>
      </c>
      <c r="B2039" s="4" t="s">
        <v>12</v>
      </c>
      <c r="C2039" s="5">
        <v>25</v>
      </c>
      <c r="D2039" s="5">
        <v>6.06</v>
      </c>
      <c r="F2039" s="4" t="s">
        <v>9</v>
      </c>
      <c r="G2039" s="4" t="s">
        <v>1850</v>
      </c>
      <c r="H2039" s="6" t="s">
        <v>11</v>
      </c>
    </row>
    <row r="2040" spans="1:8" x14ac:dyDescent="0.25">
      <c r="A2040" s="4" t="s">
        <v>1851</v>
      </c>
      <c r="B2040" s="4" t="s">
        <v>12</v>
      </c>
      <c r="C2040" s="5">
        <v>20</v>
      </c>
      <c r="D2040" s="5">
        <v>3.02</v>
      </c>
      <c r="F2040" s="4" t="s">
        <v>9</v>
      </c>
      <c r="G2040" s="4" t="s">
        <v>1852</v>
      </c>
      <c r="H2040" s="6" t="s">
        <v>11</v>
      </c>
    </row>
    <row r="2041" spans="1:8" x14ac:dyDescent="0.25">
      <c r="A2041" s="4" t="s">
        <v>1853</v>
      </c>
      <c r="B2041" s="4" t="s">
        <v>12</v>
      </c>
      <c r="C2041" s="5">
        <v>25</v>
      </c>
      <c r="D2041" s="5">
        <v>4.0199999999999996</v>
      </c>
      <c r="F2041" s="4" t="s">
        <v>9</v>
      </c>
      <c r="G2041" s="4" t="s">
        <v>1854</v>
      </c>
      <c r="H2041" s="6" t="s">
        <v>11</v>
      </c>
    </row>
    <row r="2042" spans="1:8" x14ac:dyDescent="0.25">
      <c r="A2042" s="4" t="s">
        <v>1857</v>
      </c>
      <c r="B2042" s="4" t="s">
        <v>12</v>
      </c>
      <c r="C2042" s="5">
        <v>20</v>
      </c>
      <c r="D2042" s="5">
        <v>5.37</v>
      </c>
      <c r="F2042" s="4" t="s">
        <v>9</v>
      </c>
      <c r="G2042" s="4" t="s">
        <v>1858</v>
      </c>
      <c r="H2042" s="6" t="s">
        <v>11</v>
      </c>
    </row>
    <row r="2043" spans="1:8" x14ac:dyDescent="0.25">
      <c r="A2043" s="4" t="str">
        <f>"CHOPE PIRATA QUEEN - 400ML "</f>
        <v xml:space="preserve">CHOPE PIRATA QUEEN - 400ML </v>
      </c>
      <c r="B2043" s="4" t="s">
        <v>12</v>
      </c>
      <c r="C2043" s="5">
        <v>25</v>
      </c>
      <c r="D2043" s="5">
        <v>7.16</v>
      </c>
      <c r="F2043" s="4" t="s">
        <v>9</v>
      </c>
      <c r="G2043" s="4" t="s">
        <v>1859</v>
      </c>
      <c r="H2043" s="6" t="s">
        <v>11</v>
      </c>
    </row>
    <row r="2044" spans="1:8" x14ac:dyDescent="0.25">
      <c r="A2044" s="4" t="s">
        <v>1863</v>
      </c>
      <c r="B2044" s="4" t="s">
        <v>12</v>
      </c>
      <c r="C2044" s="5">
        <v>20</v>
      </c>
      <c r="D2044" s="5">
        <v>6.06</v>
      </c>
      <c r="F2044" s="4" t="s">
        <v>9</v>
      </c>
      <c r="G2044" s="4" t="s">
        <v>1864</v>
      </c>
      <c r="H2044" s="6" t="s">
        <v>11</v>
      </c>
    </row>
    <row r="2045" spans="1:8" x14ac:dyDescent="0.25">
      <c r="A2045" s="4" t="str">
        <f>"CHOPE PIRATA STOUT-  400ML "</f>
        <v xml:space="preserve">CHOPE PIRATA STOUT-  400ML </v>
      </c>
      <c r="B2045" s="4" t="s">
        <v>12</v>
      </c>
      <c r="C2045" s="5">
        <v>25</v>
      </c>
      <c r="D2045" s="5">
        <v>6.06</v>
      </c>
      <c r="F2045" s="4" t="s">
        <v>9</v>
      </c>
      <c r="G2045" s="4" t="s">
        <v>1865</v>
      </c>
      <c r="H2045" s="6" t="s">
        <v>11</v>
      </c>
    </row>
    <row r="2046" spans="1:8" x14ac:dyDescent="0.25">
      <c r="A2046" s="4" t="s">
        <v>1866</v>
      </c>
      <c r="B2046" s="4" t="s">
        <v>12</v>
      </c>
      <c r="C2046" s="5">
        <v>20</v>
      </c>
      <c r="D2046" s="5">
        <v>6.06</v>
      </c>
      <c r="F2046" s="4" t="s">
        <v>9</v>
      </c>
      <c r="G2046" s="4" t="s">
        <v>1867</v>
      </c>
      <c r="H2046" s="6" t="s">
        <v>11</v>
      </c>
    </row>
    <row r="2047" spans="1:8" x14ac:dyDescent="0.25">
      <c r="A2047" s="4" t="str">
        <f>"CHOPE PIUM GALAXY- 400ML "</f>
        <v xml:space="preserve">CHOPE PIUM GALAXY- 400ML </v>
      </c>
      <c r="B2047" s="4" t="s">
        <v>12</v>
      </c>
      <c r="C2047" s="5">
        <v>25</v>
      </c>
      <c r="D2047" s="5">
        <v>6.06</v>
      </c>
      <c r="F2047" s="4" t="s">
        <v>9</v>
      </c>
      <c r="G2047" s="4" t="s">
        <v>1868</v>
      </c>
      <c r="H2047" s="6" t="s">
        <v>11</v>
      </c>
    </row>
    <row r="2048" spans="1:8" x14ac:dyDescent="0.25">
      <c r="A2048" s="4" t="str">
        <f>"CHOPE PRO HOP FORTUNA -300ML "</f>
        <v xml:space="preserve">CHOPE PRO HOP FORTUNA -300ML </v>
      </c>
      <c r="B2048" s="4" t="s">
        <v>12</v>
      </c>
      <c r="C2048" s="5">
        <v>20</v>
      </c>
      <c r="D2048" s="5">
        <v>5.56</v>
      </c>
      <c r="F2048" s="4" t="s">
        <v>9</v>
      </c>
      <c r="G2048" s="4" t="s">
        <v>1870</v>
      </c>
      <c r="H2048" s="6" t="s">
        <v>11</v>
      </c>
    </row>
    <row r="2049" spans="1:8" x14ac:dyDescent="0.25">
      <c r="A2049" s="4" t="s">
        <v>1871</v>
      </c>
      <c r="B2049" s="4" t="s">
        <v>12</v>
      </c>
      <c r="C2049" s="5">
        <v>25</v>
      </c>
      <c r="D2049" s="5">
        <v>7.41</v>
      </c>
      <c r="F2049" s="4" t="s">
        <v>9</v>
      </c>
      <c r="G2049" s="4" t="s">
        <v>1872</v>
      </c>
      <c r="H2049" s="6" t="s">
        <v>11</v>
      </c>
    </row>
    <row r="2050" spans="1:8" x14ac:dyDescent="0.25">
      <c r="A2050" s="4" t="s">
        <v>1873</v>
      </c>
      <c r="B2050" s="4" t="s">
        <v>12</v>
      </c>
      <c r="C2050" s="5">
        <v>20</v>
      </c>
      <c r="D2050" s="5">
        <v>4.3499999999999996</v>
      </c>
      <c r="F2050" s="4" t="s">
        <v>9</v>
      </c>
      <c r="G2050" s="4" t="s">
        <v>1874</v>
      </c>
      <c r="H2050" s="6" t="s">
        <v>11</v>
      </c>
    </row>
    <row r="2051" spans="1:8" x14ac:dyDescent="0.25">
      <c r="A2051" s="4" t="s">
        <v>1875</v>
      </c>
      <c r="B2051" s="4" t="s">
        <v>12</v>
      </c>
      <c r="C2051" s="5">
        <v>25</v>
      </c>
      <c r="D2051" s="5">
        <v>5.8</v>
      </c>
      <c r="F2051" s="4" t="s">
        <v>9</v>
      </c>
      <c r="G2051" s="4" t="s">
        <v>1876</v>
      </c>
      <c r="H2051" s="6" t="s">
        <v>11</v>
      </c>
    </row>
    <row r="2052" spans="1:8" x14ac:dyDescent="0.25">
      <c r="A2052" s="4" t="str">
        <f>"CHOPE RED WELT  -300ML "</f>
        <v xml:space="preserve">CHOPE RED WELT  -300ML </v>
      </c>
      <c r="B2052" s="4" t="s">
        <v>12</v>
      </c>
      <c r="C2052" s="5">
        <v>20</v>
      </c>
      <c r="D2052" s="5">
        <v>4.2</v>
      </c>
      <c r="F2052" s="4" t="s">
        <v>9</v>
      </c>
      <c r="G2052" s="4" t="s">
        <v>1879</v>
      </c>
      <c r="H2052" s="6" t="s">
        <v>11</v>
      </c>
    </row>
    <row r="2053" spans="1:8" x14ac:dyDescent="0.25">
      <c r="A2053" s="4" t="str">
        <f>"CHOPE RED WELT - 400ML "</f>
        <v xml:space="preserve">CHOPE RED WELT - 400ML </v>
      </c>
      <c r="B2053" s="4" t="s">
        <v>12</v>
      </c>
      <c r="C2053" s="5">
        <v>25</v>
      </c>
      <c r="D2053" s="5">
        <v>5.6</v>
      </c>
      <c r="F2053" s="4" t="s">
        <v>9</v>
      </c>
      <c r="G2053" s="4" t="s">
        <v>1880</v>
      </c>
      <c r="H2053" s="6" t="s">
        <v>11</v>
      </c>
    </row>
    <row r="2054" spans="1:8" x14ac:dyDescent="0.25">
      <c r="A2054" s="4" t="s">
        <v>1884</v>
      </c>
      <c r="B2054" s="4" t="s">
        <v>12</v>
      </c>
      <c r="C2054" s="5">
        <v>20</v>
      </c>
      <c r="D2054" s="5">
        <v>5.37</v>
      </c>
      <c r="F2054" s="4" t="s">
        <v>9</v>
      </c>
      <c r="G2054" s="4" t="s">
        <v>1885</v>
      </c>
      <c r="H2054" s="6" t="s">
        <v>11</v>
      </c>
    </row>
    <row r="2055" spans="1:8" x14ac:dyDescent="0.25">
      <c r="A2055" s="4" t="s">
        <v>1886</v>
      </c>
      <c r="B2055" s="4" t="s">
        <v>12</v>
      </c>
      <c r="C2055" s="5">
        <v>25</v>
      </c>
      <c r="D2055" s="5">
        <v>7.16</v>
      </c>
      <c r="F2055" s="4" t="s">
        <v>9</v>
      </c>
      <c r="G2055" s="4" t="s">
        <v>1887</v>
      </c>
      <c r="H2055" s="6" t="s">
        <v>11</v>
      </c>
    </row>
    <row r="2056" spans="1:8" x14ac:dyDescent="0.25">
      <c r="A2056" s="4" t="s">
        <v>1888</v>
      </c>
      <c r="B2056" s="4" t="s">
        <v>12</v>
      </c>
      <c r="C2056" s="5">
        <v>20</v>
      </c>
      <c r="D2056" s="5">
        <v>5.7</v>
      </c>
      <c r="F2056" s="4" t="s">
        <v>9</v>
      </c>
      <c r="G2056" s="4" t="s">
        <v>1889</v>
      </c>
      <c r="H2056" s="6" t="s">
        <v>11</v>
      </c>
    </row>
    <row r="2057" spans="1:8" x14ac:dyDescent="0.25">
      <c r="A2057" s="4" t="s">
        <v>1890</v>
      </c>
      <c r="B2057" s="4" t="s">
        <v>12</v>
      </c>
      <c r="C2057" s="5">
        <v>25</v>
      </c>
      <c r="D2057" s="5">
        <v>7.6</v>
      </c>
      <c r="F2057" s="4" t="s">
        <v>9</v>
      </c>
      <c r="G2057" s="4" t="s">
        <v>1891</v>
      </c>
      <c r="H2057" s="6" t="s">
        <v>11</v>
      </c>
    </row>
    <row r="2058" spans="1:8" x14ac:dyDescent="0.25">
      <c r="A2058" s="4" t="s">
        <v>1893</v>
      </c>
      <c r="B2058" s="4" t="s">
        <v>12</v>
      </c>
      <c r="C2058" s="5">
        <v>20</v>
      </c>
      <c r="D2058" s="5">
        <v>7.4</v>
      </c>
      <c r="F2058" s="4" t="s">
        <v>9</v>
      </c>
      <c r="G2058" s="4" t="s">
        <v>1894</v>
      </c>
      <c r="H2058" s="6" t="s">
        <v>11</v>
      </c>
    </row>
    <row r="2059" spans="1:8" x14ac:dyDescent="0.25">
      <c r="A2059" s="4" t="str">
        <f>"CHOPE RISK OFF-400ML "</f>
        <v xml:space="preserve">CHOPE RISK OFF-400ML </v>
      </c>
      <c r="B2059" s="4" t="s">
        <v>12</v>
      </c>
      <c r="C2059" s="5">
        <v>25</v>
      </c>
      <c r="D2059" s="5">
        <v>9.8699999999999992</v>
      </c>
      <c r="F2059" s="4" t="s">
        <v>9</v>
      </c>
      <c r="G2059" s="4" t="s">
        <v>1896</v>
      </c>
      <c r="H2059" s="6" t="s">
        <v>11</v>
      </c>
    </row>
    <row r="2060" spans="1:8" x14ac:dyDescent="0.25">
      <c r="A2060" s="4" t="str">
        <f>"CHOPE ROCKER  BLACK IPA - 400ML "</f>
        <v xml:space="preserve">CHOPE ROCKER  BLACK IPA - 400ML </v>
      </c>
      <c r="B2060" s="4" t="s">
        <v>12</v>
      </c>
      <c r="C2060" s="5">
        <v>25</v>
      </c>
      <c r="D2060" s="5">
        <v>7.56</v>
      </c>
      <c r="F2060" s="4" t="s">
        <v>9</v>
      </c>
      <c r="G2060" s="4" t="s">
        <v>1897</v>
      </c>
      <c r="H2060" s="6" t="s">
        <v>11</v>
      </c>
    </row>
    <row r="2061" spans="1:8" x14ac:dyDescent="0.25">
      <c r="A2061" s="4" t="str">
        <f>"CHOPE ROCKER BLACK IPA - 300ML "</f>
        <v xml:space="preserve">CHOPE ROCKER BLACK IPA - 300ML </v>
      </c>
      <c r="B2061" s="4" t="s">
        <v>12</v>
      </c>
      <c r="C2061" s="5">
        <v>20</v>
      </c>
      <c r="D2061" s="5">
        <v>5.67</v>
      </c>
      <c r="F2061" s="4" t="s">
        <v>9</v>
      </c>
      <c r="G2061" s="4" t="s">
        <v>1898</v>
      </c>
      <c r="H2061" s="6" t="s">
        <v>11</v>
      </c>
    </row>
    <row r="2062" spans="1:8" x14ac:dyDescent="0.25">
      <c r="A2062" s="4" t="s">
        <v>1900</v>
      </c>
      <c r="B2062" s="4" t="s">
        <v>12</v>
      </c>
      <c r="C2062" s="5">
        <v>25</v>
      </c>
      <c r="D2062" s="5">
        <v>9.2899999999999991</v>
      </c>
      <c r="F2062" s="4" t="s">
        <v>9</v>
      </c>
      <c r="G2062" s="4" t="s">
        <v>1901</v>
      </c>
      <c r="H2062" s="6" t="s">
        <v>11</v>
      </c>
    </row>
    <row r="2063" spans="1:8" x14ac:dyDescent="0.25">
      <c r="A2063" s="4" t="str">
        <f>"CHOPE ROGGENFELD- 300ML "</f>
        <v xml:space="preserve">CHOPE ROGGENFELD- 300ML </v>
      </c>
      <c r="B2063" s="4" t="s">
        <v>12</v>
      </c>
      <c r="C2063" s="5">
        <v>20</v>
      </c>
      <c r="D2063" s="5">
        <v>6.97</v>
      </c>
      <c r="F2063" s="4" t="s">
        <v>9</v>
      </c>
      <c r="G2063" s="4" t="s">
        <v>1902</v>
      </c>
      <c r="H2063" s="6" t="s">
        <v>11</v>
      </c>
    </row>
    <row r="2064" spans="1:8" x14ac:dyDescent="0.25">
      <c r="A2064" s="4" t="s">
        <v>1904</v>
      </c>
      <c r="B2064" s="4" t="s">
        <v>12</v>
      </c>
      <c r="C2064" s="5">
        <v>25</v>
      </c>
      <c r="D2064" s="5">
        <v>9.6199999999999992</v>
      </c>
      <c r="F2064" s="4" t="s">
        <v>9</v>
      </c>
      <c r="G2064" s="4" t="s">
        <v>1905</v>
      </c>
      <c r="H2064" s="6" t="s">
        <v>11</v>
      </c>
    </row>
    <row r="2065" spans="1:8" x14ac:dyDescent="0.25">
      <c r="A2065" s="4" t="s">
        <v>1907</v>
      </c>
      <c r="B2065" s="4" t="s">
        <v>12</v>
      </c>
      <c r="C2065" s="5">
        <v>20</v>
      </c>
      <c r="D2065" s="5">
        <v>7.22</v>
      </c>
      <c r="F2065" s="4" t="s">
        <v>9</v>
      </c>
      <c r="G2065" s="4" t="s">
        <v>1908</v>
      </c>
      <c r="H2065" s="6" t="s">
        <v>11</v>
      </c>
    </row>
    <row r="2066" spans="1:8" x14ac:dyDescent="0.25">
      <c r="A2066" s="4" t="s">
        <v>1909</v>
      </c>
      <c r="B2066" s="4" t="s">
        <v>12</v>
      </c>
      <c r="C2066" s="5">
        <v>20</v>
      </c>
      <c r="D2066" s="5">
        <v>4.5</v>
      </c>
      <c r="F2066" s="4" t="s">
        <v>9</v>
      </c>
      <c r="G2066" s="4" t="s">
        <v>1910</v>
      </c>
      <c r="H2066" s="6" t="s">
        <v>11</v>
      </c>
    </row>
    <row r="2067" spans="1:8" x14ac:dyDescent="0.25">
      <c r="A2067" s="4" t="str">
        <f>"CHOPE SESSION  HAZY IPA -400ML "</f>
        <v xml:space="preserve">CHOPE SESSION  HAZY IPA -400ML </v>
      </c>
      <c r="B2067" s="4" t="s">
        <v>12</v>
      </c>
      <c r="C2067" s="5">
        <v>25</v>
      </c>
      <c r="D2067" s="5">
        <v>6.99</v>
      </c>
      <c r="F2067" s="4" t="s">
        <v>9</v>
      </c>
      <c r="G2067" s="4" t="s">
        <v>1914</v>
      </c>
      <c r="H2067" s="6" t="s">
        <v>11</v>
      </c>
    </row>
    <row r="2068" spans="1:8" x14ac:dyDescent="0.25">
      <c r="A2068" s="4" t="str">
        <f>"CHOPE SESSION IPA- 400ML "</f>
        <v xml:space="preserve">CHOPE SESSION IPA- 400ML </v>
      </c>
      <c r="B2068" s="4" t="s">
        <v>12</v>
      </c>
      <c r="C2068" s="5">
        <v>25</v>
      </c>
      <c r="D2068" s="5">
        <v>6.06</v>
      </c>
      <c r="F2068" s="4" t="s">
        <v>9</v>
      </c>
      <c r="G2068" s="4" t="s">
        <v>1915</v>
      </c>
      <c r="H2068" s="6" t="s">
        <v>11</v>
      </c>
    </row>
    <row r="2069" spans="1:8" x14ac:dyDescent="0.25">
      <c r="A2069" s="4" t="str">
        <f>"CHOPE SIMPLE CHOICE 400ML "</f>
        <v xml:space="preserve">CHOPE SIMPLE CHOICE 400ML </v>
      </c>
      <c r="B2069" s="4" t="s">
        <v>12</v>
      </c>
      <c r="C2069" s="5">
        <v>25</v>
      </c>
      <c r="D2069" s="5">
        <v>7.16</v>
      </c>
      <c r="F2069" s="4" t="s">
        <v>9</v>
      </c>
      <c r="G2069" s="4" t="s">
        <v>1917</v>
      </c>
      <c r="H2069" s="6" t="s">
        <v>11</v>
      </c>
    </row>
    <row r="2070" spans="1:8" x14ac:dyDescent="0.25">
      <c r="A2070" s="4" t="str">
        <f>"CHOPE SMOOTH SIGHT 300ML "</f>
        <v xml:space="preserve">CHOPE SMOOTH SIGHT 300ML </v>
      </c>
      <c r="B2070" s="4" t="s">
        <v>12</v>
      </c>
      <c r="C2070" s="5">
        <v>20</v>
      </c>
      <c r="D2070" s="5">
        <v>0.65</v>
      </c>
      <c r="F2070" s="4" t="s">
        <v>9</v>
      </c>
      <c r="G2070" s="4" t="s">
        <v>1921</v>
      </c>
      <c r="H2070" s="6" t="s">
        <v>11</v>
      </c>
    </row>
    <row r="2071" spans="1:8" x14ac:dyDescent="0.25">
      <c r="A2071" s="4" t="str">
        <f>"CHOPE SMOOTH SIGHT 400ML "</f>
        <v xml:space="preserve">CHOPE SMOOTH SIGHT 400ML </v>
      </c>
      <c r="B2071" s="4" t="s">
        <v>12</v>
      </c>
      <c r="C2071" s="5">
        <v>25</v>
      </c>
      <c r="D2071" s="5">
        <v>0.65</v>
      </c>
      <c r="F2071" s="4" t="s">
        <v>9</v>
      </c>
      <c r="G2071" s="4" t="s">
        <v>1922</v>
      </c>
      <c r="H2071" s="6" t="s">
        <v>11</v>
      </c>
    </row>
    <row r="2072" spans="1:8" x14ac:dyDescent="0.25">
      <c r="A2072" s="4" t="str">
        <f>"CHOPE SOLAR VIBES  - 300ML "</f>
        <v xml:space="preserve">CHOPE SOLAR VIBES  - 300ML </v>
      </c>
      <c r="B2072" s="4" t="s">
        <v>12</v>
      </c>
      <c r="C2072" s="5">
        <v>35</v>
      </c>
      <c r="D2072" s="5">
        <v>2.89</v>
      </c>
      <c r="F2072" s="4" t="s">
        <v>9</v>
      </c>
      <c r="G2072" s="4" t="s">
        <v>1923</v>
      </c>
      <c r="H2072" s="6" t="s">
        <v>11</v>
      </c>
    </row>
    <row r="2073" spans="1:8" x14ac:dyDescent="0.25">
      <c r="A2073" s="4" t="str">
        <f>"CHOPE SOLAR VIBES  - 400ML "</f>
        <v xml:space="preserve">CHOPE SOLAR VIBES  - 400ML </v>
      </c>
      <c r="B2073" s="4" t="s">
        <v>12</v>
      </c>
      <c r="C2073" s="5">
        <v>40</v>
      </c>
      <c r="D2073" s="5">
        <v>3.86</v>
      </c>
      <c r="F2073" s="4" t="s">
        <v>9</v>
      </c>
      <c r="G2073" s="4" t="s">
        <v>1924</v>
      </c>
      <c r="H2073" s="6" t="s">
        <v>11</v>
      </c>
    </row>
    <row r="2074" spans="1:8" x14ac:dyDescent="0.25">
      <c r="A2074" s="4" t="s">
        <v>1926</v>
      </c>
      <c r="B2074" s="4" t="s">
        <v>12</v>
      </c>
      <c r="C2074" s="5">
        <v>20</v>
      </c>
      <c r="D2074" s="5">
        <v>5.55</v>
      </c>
      <c r="F2074" s="4" t="s">
        <v>9</v>
      </c>
      <c r="G2074" s="4" t="s">
        <v>1927</v>
      </c>
      <c r="H2074" s="6" t="s">
        <v>11</v>
      </c>
    </row>
    <row r="2075" spans="1:8" x14ac:dyDescent="0.25">
      <c r="A2075" s="4" t="s">
        <v>1928</v>
      </c>
      <c r="B2075" s="4" t="s">
        <v>12</v>
      </c>
      <c r="C2075" s="5">
        <v>25</v>
      </c>
      <c r="D2075" s="5">
        <v>7.4</v>
      </c>
      <c r="F2075" s="4" t="s">
        <v>9</v>
      </c>
      <c r="G2075" s="4" t="s">
        <v>1929</v>
      </c>
      <c r="H2075" s="6" t="s">
        <v>11</v>
      </c>
    </row>
    <row r="2076" spans="1:8" x14ac:dyDescent="0.25">
      <c r="A2076" s="4" t="str">
        <f>"CHOPE SOUR BERRY MOON -MOONDRI - ESTOQUE "</f>
        <v xml:space="preserve">CHOPE SOUR BERRY MOON -MOONDRI - ESTOQUE </v>
      </c>
      <c r="B2076" s="4" t="s">
        <v>12</v>
      </c>
      <c r="D2076" s="5">
        <v>18.5</v>
      </c>
      <c r="F2076" s="4" t="s">
        <v>9</v>
      </c>
      <c r="G2076" s="4" t="s">
        <v>1930</v>
      </c>
      <c r="H2076" s="6" t="s">
        <v>11</v>
      </c>
    </row>
    <row r="2077" spans="1:8" x14ac:dyDescent="0.25">
      <c r="A2077" s="4" t="s">
        <v>1934</v>
      </c>
      <c r="B2077" s="4" t="s">
        <v>12</v>
      </c>
      <c r="C2077" s="5">
        <v>20</v>
      </c>
      <c r="D2077" s="5">
        <v>5.67</v>
      </c>
      <c r="F2077" s="4" t="s">
        <v>9</v>
      </c>
      <c r="G2077" s="4" t="s">
        <v>1935</v>
      </c>
      <c r="H2077" s="6" t="s">
        <v>11</v>
      </c>
    </row>
    <row r="2078" spans="1:8" x14ac:dyDescent="0.25">
      <c r="A2078" s="4" t="s">
        <v>1936</v>
      </c>
      <c r="B2078" s="4" t="s">
        <v>12</v>
      </c>
      <c r="C2078" s="5">
        <v>25</v>
      </c>
      <c r="D2078" s="5">
        <v>7.56</v>
      </c>
      <c r="F2078" s="4" t="s">
        <v>9</v>
      </c>
      <c r="G2078" s="4" t="s">
        <v>1937</v>
      </c>
      <c r="H2078" s="6" t="s">
        <v>11</v>
      </c>
    </row>
    <row r="2079" spans="1:8" x14ac:dyDescent="0.25">
      <c r="A2079" s="4" t="str">
        <f>"CHOPE SUNRISE - 300ML "</f>
        <v xml:space="preserve">CHOPE SUNRISE - 300ML </v>
      </c>
      <c r="B2079" s="4" t="s">
        <v>12</v>
      </c>
      <c r="C2079" s="5">
        <v>20</v>
      </c>
      <c r="D2079" s="5">
        <v>5.7</v>
      </c>
      <c r="F2079" s="4" t="s">
        <v>9</v>
      </c>
      <c r="G2079" s="4" t="s">
        <v>1938</v>
      </c>
      <c r="H2079" s="6" t="s">
        <v>11</v>
      </c>
    </row>
    <row r="2080" spans="1:8" x14ac:dyDescent="0.25">
      <c r="A2080" s="4" t="str">
        <f>"CHOPE SUNRISE - 400ML "</f>
        <v xml:space="preserve">CHOPE SUNRISE - 400ML </v>
      </c>
      <c r="B2080" s="4" t="s">
        <v>12</v>
      </c>
      <c r="C2080" s="5">
        <v>25</v>
      </c>
      <c r="D2080" s="5">
        <v>7.6</v>
      </c>
      <c r="F2080" s="4" t="s">
        <v>9</v>
      </c>
      <c r="G2080" s="4" t="s">
        <v>1939</v>
      </c>
      <c r="H2080" s="6" t="s">
        <v>11</v>
      </c>
    </row>
    <row r="2081" spans="1:8" x14ac:dyDescent="0.25">
      <c r="A2081" s="4" t="s">
        <v>1941</v>
      </c>
      <c r="B2081" s="4" t="s">
        <v>12</v>
      </c>
      <c r="C2081" s="5">
        <v>20</v>
      </c>
      <c r="D2081" s="5">
        <v>5.03</v>
      </c>
      <c r="F2081" s="4" t="s">
        <v>9</v>
      </c>
      <c r="G2081" s="4" t="s">
        <v>1942</v>
      </c>
      <c r="H2081" s="6" t="s">
        <v>11</v>
      </c>
    </row>
    <row r="2082" spans="1:8" x14ac:dyDescent="0.25">
      <c r="A2082" s="4" t="s">
        <v>1943</v>
      </c>
      <c r="B2082" s="4" t="s">
        <v>12</v>
      </c>
      <c r="C2082" s="5">
        <v>25</v>
      </c>
      <c r="D2082" s="5">
        <v>6.71</v>
      </c>
      <c r="F2082" s="4" t="s">
        <v>9</v>
      </c>
      <c r="G2082" s="4" t="s">
        <v>1944</v>
      </c>
      <c r="H2082" s="6" t="s">
        <v>11</v>
      </c>
    </row>
    <row r="2083" spans="1:8" x14ac:dyDescent="0.25">
      <c r="A2083" s="4" t="s">
        <v>1947</v>
      </c>
      <c r="B2083" s="4" t="s">
        <v>12</v>
      </c>
      <c r="C2083" s="5">
        <v>20</v>
      </c>
      <c r="D2083" s="5">
        <v>8.8000000000000007</v>
      </c>
      <c r="F2083" s="4" t="s">
        <v>9</v>
      </c>
      <c r="G2083" s="4" t="s">
        <v>1948</v>
      </c>
      <c r="H2083" s="6" t="s">
        <v>11</v>
      </c>
    </row>
    <row r="2084" spans="1:8" x14ac:dyDescent="0.25">
      <c r="A2084" s="4" t="str">
        <f>"CHOPE SUPERNAUT -400ML "</f>
        <v xml:space="preserve">CHOPE SUPERNAUT -400ML </v>
      </c>
      <c r="B2084" s="4" t="s">
        <v>12</v>
      </c>
      <c r="C2084" s="5">
        <v>25</v>
      </c>
      <c r="D2084" s="5">
        <v>8.8000000000000007</v>
      </c>
      <c r="F2084" s="4" t="s">
        <v>9</v>
      </c>
      <c r="G2084" s="4" t="s">
        <v>1949</v>
      </c>
      <c r="H2084" s="6" t="s">
        <v>11</v>
      </c>
    </row>
    <row r="2085" spans="1:8" x14ac:dyDescent="0.25">
      <c r="A2085" s="4" t="s">
        <v>1956</v>
      </c>
      <c r="B2085" s="4" t="s">
        <v>12</v>
      </c>
      <c r="C2085" s="5">
        <v>25</v>
      </c>
      <c r="D2085" s="5">
        <v>6.85</v>
      </c>
      <c r="F2085" s="4" t="s">
        <v>9</v>
      </c>
      <c r="G2085" s="4" t="s">
        <v>1957</v>
      </c>
      <c r="H2085" s="6" t="s">
        <v>11</v>
      </c>
    </row>
    <row r="2086" spans="1:8" x14ac:dyDescent="0.25">
      <c r="A2086" s="4" t="s">
        <v>1958</v>
      </c>
      <c r="B2086" s="4" t="s">
        <v>12</v>
      </c>
      <c r="C2086" s="5">
        <v>30</v>
      </c>
      <c r="D2086" s="5">
        <v>9.14</v>
      </c>
      <c r="F2086" s="4" t="s">
        <v>9</v>
      </c>
      <c r="G2086" s="4" t="s">
        <v>1959</v>
      </c>
      <c r="H2086" s="6" t="s">
        <v>11</v>
      </c>
    </row>
    <row r="2087" spans="1:8" x14ac:dyDescent="0.25">
      <c r="A2087" s="4" t="str">
        <f>"CHOPE SWAMP BOQUERA STYELE -300ML "</f>
        <v xml:space="preserve">CHOPE SWAMP BOQUERA STYELE -300ML </v>
      </c>
      <c r="B2087" s="4" t="s">
        <v>12</v>
      </c>
      <c r="C2087" s="5">
        <v>20</v>
      </c>
      <c r="D2087" s="5">
        <v>6.75</v>
      </c>
      <c r="F2087" s="4" t="s">
        <v>9</v>
      </c>
      <c r="G2087" s="4" t="s">
        <v>1961</v>
      </c>
      <c r="H2087" s="6" t="s">
        <v>11</v>
      </c>
    </row>
    <row r="2088" spans="1:8" x14ac:dyDescent="0.25">
      <c r="A2088" s="4" t="str">
        <f>"CHOPE SWAMP BOQUERA STYELE -400ML "</f>
        <v xml:space="preserve">CHOPE SWAMP BOQUERA STYELE -400ML </v>
      </c>
      <c r="B2088" s="4" t="s">
        <v>12</v>
      </c>
      <c r="C2088" s="5">
        <v>25</v>
      </c>
      <c r="D2088" s="5">
        <v>9</v>
      </c>
      <c r="F2088" s="4" t="s">
        <v>9</v>
      </c>
      <c r="G2088" s="4" t="s">
        <v>1962</v>
      </c>
      <c r="H2088" s="6" t="s">
        <v>11</v>
      </c>
    </row>
    <row r="2089" spans="1:8" x14ac:dyDescent="0.25">
      <c r="A2089" s="4" t="s">
        <v>1963</v>
      </c>
      <c r="B2089" s="4" t="s">
        <v>12</v>
      </c>
      <c r="C2089" s="5">
        <v>20</v>
      </c>
      <c r="D2089" s="5">
        <v>6.3</v>
      </c>
      <c r="F2089" s="4" t="s">
        <v>9</v>
      </c>
      <c r="G2089" s="4" t="s">
        <v>1964</v>
      </c>
      <c r="H2089" s="6" t="s">
        <v>11</v>
      </c>
    </row>
    <row r="2090" spans="1:8" x14ac:dyDescent="0.25">
      <c r="A2090" s="4" t="s">
        <v>1965</v>
      </c>
      <c r="B2090" s="4" t="s">
        <v>12</v>
      </c>
      <c r="C2090" s="5">
        <v>25</v>
      </c>
      <c r="D2090" s="5">
        <v>8.4</v>
      </c>
      <c r="F2090" s="4" t="s">
        <v>9</v>
      </c>
      <c r="G2090" s="4" t="s">
        <v>1966</v>
      </c>
      <c r="H2090" s="6" t="s">
        <v>11</v>
      </c>
    </row>
    <row r="2091" spans="1:8" x14ac:dyDescent="0.25">
      <c r="A2091" s="4" t="s">
        <v>1969</v>
      </c>
      <c r="B2091" s="4" t="s">
        <v>12</v>
      </c>
      <c r="C2091" s="5">
        <v>25</v>
      </c>
      <c r="D2091" s="5">
        <v>8</v>
      </c>
      <c r="F2091" s="4" t="s">
        <v>9</v>
      </c>
      <c r="G2091" s="4" t="s">
        <v>1970</v>
      </c>
      <c r="H2091" s="6" t="s">
        <v>11</v>
      </c>
    </row>
    <row r="2092" spans="1:8" x14ac:dyDescent="0.25">
      <c r="A2092" s="4" t="s">
        <v>1971</v>
      </c>
      <c r="B2092" s="4" t="s">
        <v>12</v>
      </c>
      <c r="C2092" s="5">
        <v>20</v>
      </c>
      <c r="D2092" s="5">
        <v>6</v>
      </c>
      <c r="F2092" s="4" t="s">
        <v>9</v>
      </c>
      <c r="G2092" s="4" t="s">
        <v>1972</v>
      </c>
      <c r="H2092" s="6" t="s">
        <v>11</v>
      </c>
    </row>
    <row r="2093" spans="1:8" x14ac:dyDescent="0.25">
      <c r="A2093" s="4" t="str">
        <f>"CHOPE SWAMP MANGROOVE- 300ML "</f>
        <v xml:space="preserve">CHOPE SWAMP MANGROOVE- 300ML </v>
      </c>
      <c r="B2093" s="4" t="s">
        <v>12</v>
      </c>
      <c r="C2093" s="5">
        <v>20</v>
      </c>
      <c r="D2093" s="5">
        <v>5.55</v>
      </c>
      <c r="F2093" s="4" t="s">
        <v>9</v>
      </c>
      <c r="G2093" s="4" t="s">
        <v>1977</v>
      </c>
      <c r="H2093" s="6" t="s">
        <v>11</v>
      </c>
    </row>
    <row r="2094" spans="1:8" x14ac:dyDescent="0.25">
      <c r="A2094" s="4" t="s">
        <v>1978</v>
      </c>
      <c r="B2094" s="4" t="s">
        <v>12</v>
      </c>
      <c r="C2094" s="5">
        <v>25</v>
      </c>
      <c r="D2094" s="5">
        <v>7.4</v>
      </c>
      <c r="F2094" s="4" t="s">
        <v>9</v>
      </c>
      <c r="G2094" s="4" t="s">
        <v>1979</v>
      </c>
      <c r="H2094" s="6" t="s">
        <v>11</v>
      </c>
    </row>
    <row r="2095" spans="1:8" x14ac:dyDescent="0.25">
      <c r="A2095" s="4" t="s">
        <v>1980</v>
      </c>
      <c r="B2095" s="4" t="s">
        <v>12</v>
      </c>
      <c r="C2095" s="5">
        <v>20</v>
      </c>
      <c r="D2095" s="5">
        <v>7.05</v>
      </c>
      <c r="F2095" s="4" t="s">
        <v>9</v>
      </c>
      <c r="G2095" s="4" t="s">
        <v>1981</v>
      </c>
      <c r="H2095" s="6" t="s">
        <v>11</v>
      </c>
    </row>
    <row r="2096" spans="1:8" x14ac:dyDescent="0.25">
      <c r="A2096" s="4" t="str">
        <f>"CHOPE SWAMP MARUI STARWAY - 400 ML "</f>
        <v xml:space="preserve">CHOPE SWAMP MARUI STARWAY - 400 ML </v>
      </c>
      <c r="B2096" s="4" t="s">
        <v>12</v>
      </c>
      <c r="C2096" s="5">
        <v>25</v>
      </c>
      <c r="D2096" s="5">
        <v>9.4</v>
      </c>
      <c r="F2096" s="4" t="s">
        <v>9</v>
      </c>
      <c r="G2096" s="4" t="s">
        <v>1982</v>
      </c>
      <c r="H2096" s="6" t="s">
        <v>11</v>
      </c>
    </row>
    <row r="2097" spans="1:8" x14ac:dyDescent="0.25">
      <c r="A2097" s="4" t="s">
        <v>1985</v>
      </c>
      <c r="B2097" s="4" t="s">
        <v>12</v>
      </c>
      <c r="C2097" s="5">
        <v>17</v>
      </c>
      <c r="D2097" s="5">
        <v>4.1399999999999997</v>
      </c>
      <c r="F2097" s="4" t="s">
        <v>9</v>
      </c>
      <c r="G2097" s="4" t="s">
        <v>1986</v>
      </c>
      <c r="H2097" s="6" t="s">
        <v>11</v>
      </c>
    </row>
    <row r="2098" spans="1:8" x14ac:dyDescent="0.25">
      <c r="A2098" s="4" t="s">
        <v>1987</v>
      </c>
      <c r="B2098" s="4" t="s">
        <v>12</v>
      </c>
      <c r="C2098" s="5">
        <v>20</v>
      </c>
      <c r="D2098" s="5">
        <v>5.52</v>
      </c>
      <c r="F2098" s="4" t="s">
        <v>9</v>
      </c>
      <c r="G2098" s="4" t="s">
        <v>1988</v>
      </c>
      <c r="H2098" s="6" t="s">
        <v>11</v>
      </c>
    </row>
    <row r="2099" spans="1:8" x14ac:dyDescent="0.25">
      <c r="A2099" s="4" t="s">
        <v>1989</v>
      </c>
      <c r="B2099" s="4" t="s">
        <v>12</v>
      </c>
      <c r="C2099" s="5">
        <v>20</v>
      </c>
      <c r="D2099" s="5">
        <v>4.55</v>
      </c>
      <c r="F2099" s="4" t="s">
        <v>9</v>
      </c>
      <c r="G2099" s="4" t="s">
        <v>1990</v>
      </c>
      <c r="H2099" s="6" t="s">
        <v>11</v>
      </c>
    </row>
    <row r="2100" spans="1:8" x14ac:dyDescent="0.25">
      <c r="A2100" s="4" t="s">
        <v>1991</v>
      </c>
      <c r="B2100" s="4" t="s">
        <v>12</v>
      </c>
      <c r="C2100" s="5">
        <v>25</v>
      </c>
      <c r="D2100" s="5">
        <v>6.06</v>
      </c>
      <c r="F2100" s="4" t="s">
        <v>9</v>
      </c>
      <c r="G2100" s="4" t="s">
        <v>1992</v>
      </c>
      <c r="H2100" s="6" t="s">
        <v>11</v>
      </c>
    </row>
    <row r="2101" spans="1:8" x14ac:dyDescent="0.25">
      <c r="A2101" s="4" t="str">
        <f>"CHOPE SWAMP WIPE OUT  - 300ML "</f>
        <v xml:space="preserve">CHOPE SWAMP WIPE OUT  - 300ML </v>
      </c>
      <c r="B2101" s="4" t="s">
        <v>12</v>
      </c>
      <c r="C2101" s="5">
        <v>25</v>
      </c>
      <c r="D2101" s="5">
        <v>8.1</v>
      </c>
      <c r="F2101" s="4" t="s">
        <v>9</v>
      </c>
      <c r="G2101" s="4" t="s">
        <v>1994</v>
      </c>
      <c r="H2101" s="6" t="s">
        <v>11</v>
      </c>
    </row>
    <row r="2102" spans="1:8" x14ac:dyDescent="0.25">
      <c r="A2102" s="4" t="str">
        <f>"CHOPE SWAMP WIPE OUT  - 400ML "</f>
        <v xml:space="preserve">CHOPE SWAMP WIPE OUT  - 400ML </v>
      </c>
      <c r="B2102" s="4" t="s">
        <v>12</v>
      </c>
      <c r="C2102" s="5">
        <v>30</v>
      </c>
      <c r="D2102" s="5">
        <v>10.8</v>
      </c>
      <c r="F2102" s="4" t="s">
        <v>9</v>
      </c>
      <c r="G2102" s="4" t="s">
        <v>1995</v>
      </c>
      <c r="H2102" s="6" t="s">
        <v>11</v>
      </c>
    </row>
    <row r="2103" spans="1:8" x14ac:dyDescent="0.25">
      <c r="A2103" s="4" t="str">
        <f>"CHOPE TENESSE - 300ML "</f>
        <v xml:space="preserve">CHOPE TENESSE - 300ML </v>
      </c>
      <c r="B2103" s="4" t="s">
        <v>12</v>
      </c>
      <c r="C2103" s="5">
        <v>20</v>
      </c>
      <c r="D2103" s="5">
        <v>5.07</v>
      </c>
      <c r="F2103" s="4" t="s">
        <v>9</v>
      </c>
      <c r="G2103" s="4" t="s">
        <v>1998</v>
      </c>
      <c r="H2103" s="6" t="s">
        <v>11</v>
      </c>
    </row>
    <row r="2104" spans="1:8" x14ac:dyDescent="0.25">
      <c r="A2104" s="4" t="str">
        <f>"CHOPE TENESSE - 400ML "</f>
        <v xml:space="preserve">CHOPE TENESSE - 400ML </v>
      </c>
      <c r="B2104" s="4" t="s">
        <v>12</v>
      </c>
      <c r="C2104" s="5">
        <v>25</v>
      </c>
      <c r="D2104" s="5">
        <v>6.76</v>
      </c>
      <c r="F2104" s="4" t="s">
        <v>9</v>
      </c>
      <c r="G2104" s="4" t="s">
        <v>1999</v>
      </c>
      <c r="H2104" s="6" t="s">
        <v>11</v>
      </c>
    </row>
    <row r="2105" spans="1:8" x14ac:dyDescent="0.25">
      <c r="A2105" s="4" t="s">
        <v>2004</v>
      </c>
      <c r="B2105" s="4" t="s">
        <v>12</v>
      </c>
      <c r="C2105" s="5">
        <v>20</v>
      </c>
      <c r="F2105" s="4" t="s">
        <v>9</v>
      </c>
      <c r="G2105" s="4" t="s">
        <v>2005</v>
      </c>
      <c r="H2105" s="6" t="s">
        <v>11</v>
      </c>
    </row>
    <row r="2106" spans="1:8" x14ac:dyDescent="0.25">
      <c r="A2106" s="4" t="s">
        <v>2006</v>
      </c>
      <c r="B2106" s="4" t="s">
        <v>12</v>
      </c>
      <c r="C2106" s="5">
        <v>25</v>
      </c>
      <c r="F2106" s="4" t="s">
        <v>9</v>
      </c>
      <c r="G2106" s="4" t="s">
        <v>2007</v>
      </c>
      <c r="H2106" s="6" t="s">
        <v>11</v>
      </c>
    </row>
    <row r="2107" spans="1:8" x14ac:dyDescent="0.25">
      <c r="A2107" s="4" t="str">
        <f>"CHOPE TERRAÇO HIPERTIMESIA - 300ML "</f>
        <v xml:space="preserve">CHOPE TERRAÇO HIPERTIMESIA - 300ML </v>
      </c>
      <c r="B2107" s="4" t="s">
        <v>12</v>
      </c>
      <c r="C2107" s="5">
        <v>20</v>
      </c>
      <c r="D2107" s="5">
        <v>4.55</v>
      </c>
      <c r="F2107" s="4" t="s">
        <v>9</v>
      </c>
      <c r="G2107" s="4" t="s">
        <v>2008</v>
      </c>
      <c r="H2107" s="6" t="s">
        <v>11</v>
      </c>
    </row>
    <row r="2108" spans="1:8" x14ac:dyDescent="0.25">
      <c r="A2108" s="4" t="s">
        <v>2009</v>
      </c>
      <c r="B2108" s="4" t="s">
        <v>12</v>
      </c>
      <c r="C2108" s="5">
        <v>25</v>
      </c>
      <c r="D2108" s="5">
        <v>6.06</v>
      </c>
      <c r="F2108" s="4" t="s">
        <v>9</v>
      </c>
      <c r="G2108" s="4" t="s">
        <v>2010</v>
      </c>
      <c r="H2108" s="6" t="s">
        <v>11</v>
      </c>
    </row>
    <row r="2109" spans="1:8" x14ac:dyDescent="0.25">
      <c r="A2109" s="4" t="s">
        <v>2012</v>
      </c>
      <c r="B2109" s="4" t="s">
        <v>12</v>
      </c>
      <c r="F2109" s="4" t="s">
        <v>59</v>
      </c>
      <c r="G2109" s="4" t="s">
        <v>2013</v>
      </c>
      <c r="H2109" s="6" t="s">
        <v>11</v>
      </c>
    </row>
    <row r="2110" spans="1:8" x14ac:dyDescent="0.25">
      <c r="A2110" s="4" t="s">
        <v>2015</v>
      </c>
      <c r="B2110" s="4" t="s">
        <v>12</v>
      </c>
      <c r="C2110" s="5">
        <v>20</v>
      </c>
      <c r="D2110" s="5">
        <v>5.24</v>
      </c>
      <c r="F2110" s="4" t="s">
        <v>9</v>
      </c>
      <c r="G2110" s="4" t="s">
        <v>2016</v>
      </c>
      <c r="H2110" s="6" t="s">
        <v>11</v>
      </c>
    </row>
    <row r="2111" spans="1:8" x14ac:dyDescent="0.25">
      <c r="A2111" s="4" t="s">
        <v>2017</v>
      </c>
      <c r="B2111" s="4" t="s">
        <v>12</v>
      </c>
      <c r="C2111" s="5">
        <v>25</v>
      </c>
      <c r="D2111" s="5">
        <v>6.99</v>
      </c>
      <c r="F2111" s="4" t="s">
        <v>9</v>
      </c>
      <c r="G2111" s="4" t="s">
        <v>2018</v>
      </c>
      <c r="H2111" s="6" t="s">
        <v>11</v>
      </c>
    </row>
    <row r="2112" spans="1:8" x14ac:dyDescent="0.25">
      <c r="A2112" s="4" t="s">
        <v>2020</v>
      </c>
      <c r="B2112" s="4" t="s">
        <v>12</v>
      </c>
      <c r="C2112" s="5">
        <v>20</v>
      </c>
      <c r="D2112" s="5">
        <v>4.58</v>
      </c>
      <c r="F2112" s="4" t="s">
        <v>9</v>
      </c>
      <c r="G2112" s="4" t="s">
        <v>2021</v>
      </c>
      <c r="H2112" s="6" t="s">
        <v>11</v>
      </c>
    </row>
    <row r="2113" spans="1:8" x14ac:dyDescent="0.25">
      <c r="A2113" s="4" t="str">
        <f>"CHOPE TINTA FRESCA - 400ML "</f>
        <v xml:space="preserve">CHOPE TINTA FRESCA - 400ML </v>
      </c>
      <c r="B2113" s="4" t="s">
        <v>12</v>
      </c>
      <c r="C2113" s="5">
        <v>25</v>
      </c>
      <c r="D2113" s="5">
        <v>6.11</v>
      </c>
      <c r="F2113" s="4" t="s">
        <v>9</v>
      </c>
      <c r="G2113" s="4" t="s">
        <v>2022</v>
      </c>
      <c r="H2113" s="6" t="s">
        <v>11</v>
      </c>
    </row>
    <row r="2114" spans="1:8" x14ac:dyDescent="0.25">
      <c r="A2114" s="4" t="s">
        <v>2023</v>
      </c>
      <c r="B2114" s="4" t="s">
        <v>12</v>
      </c>
      <c r="C2114" s="5">
        <v>20</v>
      </c>
      <c r="D2114" s="5">
        <v>5.55</v>
      </c>
      <c r="F2114" s="4" t="s">
        <v>9</v>
      </c>
      <c r="G2114" s="4" t="s">
        <v>2024</v>
      </c>
      <c r="H2114" s="6" t="s">
        <v>11</v>
      </c>
    </row>
    <row r="2115" spans="1:8" x14ac:dyDescent="0.25">
      <c r="A2115" s="4" t="str">
        <f>"CHOPE TORANJITO - 400ML "</f>
        <v xml:space="preserve">CHOPE TORANJITO - 400ML </v>
      </c>
      <c r="B2115" s="4" t="s">
        <v>12</v>
      </c>
      <c r="C2115" s="5">
        <v>25</v>
      </c>
      <c r="D2115" s="5">
        <v>7.4</v>
      </c>
      <c r="F2115" s="4" t="s">
        <v>9</v>
      </c>
      <c r="G2115" s="4" t="s">
        <v>2025</v>
      </c>
      <c r="H2115" s="6" t="s">
        <v>11</v>
      </c>
    </row>
    <row r="2116" spans="1:8" x14ac:dyDescent="0.25">
      <c r="A2116" s="4" t="s">
        <v>2028</v>
      </c>
      <c r="B2116" s="4" t="s">
        <v>12</v>
      </c>
      <c r="C2116" s="5">
        <v>20</v>
      </c>
      <c r="D2116" s="5">
        <v>6.67</v>
      </c>
      <c r="F2116" s="4" t="s">
        <v>9</v>
      </c>
      <c r="G2116" s="4" t="s">
        <v>2029</v>
      </c>
      <c r="H2116" s="6" t="s">
        <v>11</v>
      </c>
    </row>
    <row r="2117" spans="1:8" x14ac:dyDescent="0.25">
      <c r="A2117" s="4" t="s">
        <v>2030</v>
      </c>
      <c r="B2117" s="4" t="s">
        <v>12</v>
      </c>
      <c r="C2117" s="5">
        <v>25</v>
      </c>
      <c r="D2117" s="5">
        <v>8.89</v>
      </c>
      <c r="F2117" s="4" t="s">
        <v>9</v>
      </c>
      <c r="G2117" s="4" t="s">
        <v>2031</v>
      </c>
      <c r="H2117" s="6" t="s">
        <v>11</v>
      </c>
    </row>
    <row r="2118" spans="1:8" x14ac:dyDescent="0.25">
      <c r="A2118" s="4" t="str">
        <f>"CHOPE TURBINADA - SESSION IPA -300ML "</f>
        <v xml:space="preserve">CHOPE TURBINADA - SESSION IPA -300ML </v>
      </c>
      <c r="B2118" s="4" t="s">
        <v>12</v>
      </c>
      <c r="C2118" s="5">
        <v>20</v>
      </c>
      <c r="D2118" s="5">
        <v>4.6500000000000004</v>
      </c>
      <c r="F2118" s="4" t="s">
        <v>9</v>
      </c>
      <c r="G2118" s="4" t="s">
        <v>2036</v>
      </c>
      <c r="H2118" s="6" t="s">
        <v>11</v>
      </c>
    </row>
    <row r="2119" spans="1:8" x14ac:dyDescent="0.25">
      <c r="A2119" s="4" t="s">
        <v>2037</v>
      </c>
      <c r="B2119" s="4" t="s">
        <v>12</v>
      </c>
      <c r="C2119" s="5">
        <v>25</v>
      </c>
      <c r="D2119" s="5">
        <v>6.2</v>
      </c>
      <c r="F2119" s="4" t="s">
        <v>9</v>
      </c>
      <c r="G2119" s="4" t="s">
        <v>2038</v>
      </c>
      <c r="H2119" s="6" t="s">
        <v>11</v>
      </c>
    </row>
    <row r="2120" spans="1:8" x14ac:dyDescent="0.25">
      <c r="A2120" s="4" t="str">
        <f>"CHOPE TURBINADA - WEIZEN 300ML "</f>
        <v xml:space="preserve">CHOPE TURBINADA - WEIZEN 300ML </v>
      </c>
      <c r="B2120" s="4" t="s">
        <v>12</v>
      </c>
      <c r="C2120" s="5">
        <v>20</v>
      </c>
      <c r="D2120" s="5">
        <v>3.83</v>
      </c>
      <c r="F2120" s="4" t="s">
        <v>9</v>
      </c>
      <c r="G2120" s="4" t="s">
        <v>2039</v>
      </c>
      <c r="H2120" s="6" t="s">
        <v>11</v>
      </c>
    </row>
    <row r="2121" spans="1:8" x14ac:dyDescent="0.25">
      <c r="A2121" s="4" t="str">
        <f>"CHOPE TURBINADA - WEIZEN 400ML "</f>
        <v xml:space="preserve">CHOPE TURBINADA - WEIZEN 400ML </v>
      </c>
      <c r="B2121" s="4" t="s">
        <v>12</v>
      </c>
      <c r="C2121" s="5">
        <v>25</v>
      </c>
      <c r="D2121" s="5">
        <v>5.0999999999999996</v>
      </c>
      <c r="F2121" s="4" t="s">
        <v>9</v>
      </c>
      <c r="G2121" s="4" t="s">
        <v>2040</v>
      </c>
      <c r="H2121" s="6" t="s">
        <v>11</v>
      </c>
    </row>
    <row r="2122" spans="1:8" x14ac:dyDescent="0.25">
      <c r="A2122" s="4" t="str">
        <f>"CHOPE TURBINADA BELGIAN BLOND ALE  300ML "</f>
        <v xml:space="preserve">CHOPE TURBINADA BELGIAN BLOND ALE  300ML </v>
      </c>
      <c r="B2122" s="4" t="s">
        <v>12</v>
      </c>
      <c r="C2122" s="5">
        <v>20</v>
      </c>
      <c r="D2122" s="5">
        <v>5.59</v>
      </c>
      <c r="F2122" s="4" t="s">
        <v>9</v>
      </c>
      <c r="G2122" s="4" t="s">
        <v>2042</v>
      </c>
      <c r="H2122" s="6" t="s">
        <v>11</v>
      </c>
    </row>
    <row r="2123" spans="1:8" x14ac:dyDescent="0.25">
      <c r="A2123" s="4" t="s">
        <v>2043</v>
      </c>
      <c r="B2123" s="4" t="s">
        <v>12</v>
      </c>
      <c r="C2123" s="5">
        <v>25</v>
      </c>
      <c r="D2123" s="5">
        <v>5.59</v>
      </c>
      <c r="F2123" s="4" t="s">
        <v>9</v>
      </c>
      <c r="G2123" s="4" t="s">
        <v>2044</v>
      </c>
      <c r="H2123" s="6" t="s">
        <v>11</v>
      </c>
    </row>
    <row r="2124" spans="1:8" x14ac:dyDescent="0.25">
      <c r="A2124" s="4" t="str">
        <f>"CHOPE TURBINADA BLACK IPA -300ML "</f>
        <v xml:space="preserve">CHOPE TURBINADA BLACK IPA -300ML </v>
      </c>
      <c r="B2124" s="4" t="s">
        <v>12</v>
      </c>
      <c r="C2124" s="5">
        <v>20</v>
      </c>
      <c r="D2124" s="5">
        <v>7.9</v>
      </c>
      <c r="F2124" s="4" t="s">
        <v>9</v>
      </c>
      <c r="G2124" s="4" t="s">
        <v>2045</v>
      </c>
      <c r="H2124" s="6" t="s">
        <v>11</v>
      </c>
    </row>
    <row r="2125" spans="1:8" x14ac:dyDescent="0.25">
      <c r="A2125" s="4" t="str">
        <f>"CHOPE TURBINADA BLACK IPA -400ML "</f>
        <v xml:space="preserve">CHOPE TURBINADA BLACK IPA -400ML </v>
      </c>
      <c r="B2125" s="4" t="s">
        <v>12</v>
      </c>
      <c r="C2125" s="5">
        <v>25</v>
      </c>
      <c r="D2125" s="5">
        <v>10.53</v>
      </c>
      <c r="F2125" s="4" t="s">
        <v>9</v>
      </c>
      <c r="G2125" s="4" t="s">
        <v>2046</v>
      </c>
      <c r="H2125" s="6" t="s">
        <v>11</v>
      </c>
    </row>
    <row r="2126" spans="1:8" x14ac:dyDescent="0.25">
      <c r="A2126" s="4" t="str">
        <f>"CHOPE TURBINADA DOUBLE BROWN - 300ML "</f>
        <v xml:space="preserve">CHOPE TURBINADA DOUBLE BROWN - 300ML </v>
      </c>
      <c r="B2126" s="4" t="s">
        <v>12</v>
      </c>
      <c r="C2126" s="5">
        <v>20</v>
      </c>
      <c r="D2126" s="5">
        <v>4.95</v>
      </c>
      <c r="F2126" s="4" t="s">
        <v>9</v>
      </c>
      <c r="G2126" s="4" t="s">
        <v>2047</v>
      </c>
      <c r="H2126" s="6" t="s">
        <v>11</v>
      </c>
    </row>
    <row r="2127" spans="1:8" x14ac:dyDescent="0.25">
      <c r="A2127" s="4" t="str">
        <f>"CHOPE TURBINADA DOUBLE BROWN - 400ML "</f>
        <v xml:space="preserve">CHOPE TURBINADA DOUBLE BROWN - 400ML </v>
      </c>
      <c r="B2127" s="4" t="s">
        <v>12</v>
      </c>
      <c r="C2127" s="5">
        <v>25</v>
      </c>
      <c r="D2127" s="5">
        <v>6.6</v>
      </c>
      <c r="F2127" s="4" t="s">
        <v>9</v>
      </c>
      <c r="G2127" s="4" t="s">
        <v>2048</v>
      </c>
      <c r="H2127" s="6" t="s">
        <v>11</v>
      </c>
    </row>
    <row r="2128" spans="1:8" x14ac:dyDescent="0.25">
      <c r="A2128" s="4" t="s">
        <v>2050</v>
      </c>
      <c r="B2128" s="4" t="s">
        <v>12</v>
      </c>
      <c r="C2128" s="5">
        <v>20</v>
      </c>
      <c r="D2128" s="5">
        <v>7.35</v>
      </c>
      <c r="F2128" s="4" t="s">
        <v>9</v>
      </c>
      <c r="G2128" s="4" t="s">
        <v>2051</v>
      </c>
      <c r="H2128" s="6" t="s">
        <v>11</v>
      </c>
    </row>
    <row r="2129" spans="1:8" x14ac:dyDescent="0.25">
      <c r="A2129" s="4" t="s">
        <v>2052</v>
      </c>
      <c r="B2129" s="4" t="s">
        <v>12</v>
      </c>
      <c r="C2129" s="5">
        <v>25</v>
      </c>
      <c r="D2129" s="5">
        <v>11.52</v>
      </c>
      <c r="F2129" s="4" t="s">
        <v>9</v>
      </c>
      <c r="G2129" s="4" t="s">
        <v>2053</v>
      </c>
      <c r="H2129" s="6" t="s">
        <v>11</v>
      </c>
    </row>
    <row r="2130" spans="1:8" x14ac:dyDescent="0.25">
      <c r="A2130" s="4" t="s">
        <v>2056</v>
      </c>
      <c r="B2130" s="4" t="s">
        <v>12</v>
      </c>
      <c r="C2130" s="5">
        <v>20</v>
      </c>
      <c r="D2130" s="5">
        <v>4.0199999999999996</v>
      </c>
      <c r="F2130" s="4" t="s">
        <v>9</v>
      </c>
      <c r="G2130" s="4" t="s">
        <v>2057</v>
      </c>
      <c r="H2130" s="6" t="s">
        <v>11</v>
      </c>
    </row>
    <row r="2131" spans="1:8" x14ac:dyDescent="0.25">
      <c r="A2131" s="4" t="str">
        <f>"CHOPE TURBINADA DUNKEL- 400ML "</f>
        <v xml:space="preserve">CHOPE TURBINADA DUNKEL- 400ML </v>
      </c>
      <c r="B2131" s="4" t="s">
        <v>12</v>
      </c>
      <c r="C2131" s="5">
        <v>25</v>
      </c>
      <c r="D2131" s="5">
        <v>5.36</v>
      </c>
      <c r="F2131" s="4" t="s">
        <v>9</v>
      </c>
      <c r="G2131" s="4" t="s">
        <v>2058</v>
      </c>
      <c r="H2131" s="6" t="s">
        <v>11</v>
      </c>
    </row>
    <row r="2132" spans="1:8" x14ac:dyDescent="0.25">
      <c r="A2132" s="4" t="s">
        <v>2060</v>
      </c>
      <c r="B2132" s="4" t="s">
        <v>12</v>
      </c>
      <c r="C2132" s="5">
        <v>20</v>
      </c>
      <c r="D2132" s="5">
        <v>7.5</v>
      </c>
      <c r="F2132" s="4" t="s">
        <v>9</v>
      </c>
      <c r="G2132" s="4" t="s">
        <v>2061</v>
      </c>
      <c r="H2132" s="6" t="s">
        <v>11</v>
      </c>
    </row>
    <row r="2133" spans="1:8" x14ac:dyDescent="0.25">
      <c r="A2133" s="4" t="s">
        <v>2062</v>
      </c>
      <c r="B2133" s="4" t="s">
        <v>12</v>
      </c>
      <c r="C2133" s="5">
        <v>25</v>
      </c>
      <c r="D2133" s="5">
        <v>10</v>
      </c>
      <c r="F2133" s="4" t="s">
        <v>9</v>
      </c>
      <c r="G2133" s="4" t="s">
        <v>2063</v>
      </c>
      <c r="H2133" s="6" t="s">
        <v>11</v>
      </c>
    </row>
    <row r="2134" spans="1:8" x14ac:dyDescent="0.25">
      <c r="A2134" s="4" t="s">
        <v>2067</v>
      </c>
      <c r="B2134" s="4" t="s">
        <v>12</v>
      </c>
      <c r="C2134" s="5">
        <v>20</v>
      </c>
      <c r="D2134" s="5">
        <v>4.95</v>
      </c>
      <c r="F2134" s="4" t="s">
        <v>9</v>
      </c>
      <c r="G2134" s="4" t="s">
        <v>2068</v>
      </c>
      <c r="H2134" s="6" t="s">
        <v>11</v>
      </c>
    </row>
    <row r="2135" spans="1:8" x14ac:dyDescent="0.25">
      <c r="A2135" s="4" t="s">
        <v>2069</v>
      </c>
      <c r="B2135" s="4" t="s">
        <v>12</v>
      </c>
      <c r="C2135" s="5">
        <v>25</v>
      </c>
      <c r="D2135" s="5">
        <v>6.6</v>
      </c>
      <c r="F2135" s="4" t="s">
        <v>9</v>
      </c>
      <c r="G2135" s="4" t="s">
        <v>2070</v>
      </c>
      <c r="H2135" s="6" t="s">
        <v>11</v>
      </c>
    </row>
    <row r="2136" spans="1:8" x14ac:dyDescent="0.25">
      <c r="A2136" s="4" t="str">
        <f>"CHOPE TYR  ESB -300ML "</f>
        <v xml:space="preserve">CHOPE TYR  ESB -300ML </v>
      </c>
      <c r="B2136" s="4" t="s">
        <v>12</v>
      </c>
      <c r="C2136" s="5">
        <v>20</v>
      </c>
      <c r="D2136" s="5">
        <v>4.92</v>
      </c>
      <c r="F2136" s="4" t="s">
        <v>9</v>
      </c>
      <c r="G2136" s="4" t="s">
        <v>2075</v>
      </c>
      <c r="H2136" s="6" t="s">
        <v>11</v>
      </c>
    </row>
    <row r="2137" spans="1:8" x14ac:dyDescent="0.25">
      <c r="A2137" s="4" t="str">
        <f>"CHOPE TYR ESB - 400ML "</f>
        <v xml:space="preserve">CHOPE TYR ESB - 400ML </v>
      </c>
      <c r="B2137" s="4" t="s">
        <v>12</v>
      </c>
      <c r="C2137" s="5">
        <v>25</v>
      </c>
      <c r="D2137" s="5">
        <v>6.56</v>
      </c>
      <c r="F2137" s="4" t="s">
        <v>9</v>
      </c>
      <c r="G2137" s="4" t="s">
        <v>2077</v>
      </c>
      <c r="H2137" s="6" t="s">
        <v>11</v>
      </c>
    </row>
    <row r="2138" spans="1:8" x14ac:dyDescent="0.25">
      <c r="A2138" s="4" t="s">
        <v>2078</v>
      </c>
      <c r="B2138" s="4" t="s">
        <v>12</v>
      </c>
      <c r="C2138" s="5">
        <v>25</v>
      </c>
      <c r="D2138" s="5">
        <v>9.41</v>
      </c>
      <c r="F2138" s="4" t="s">
        <v>9</v>
      </c>
      <c r="G2138" s="4" t="s">
        <v>2079</v>
      </c>
      <c r="H2138" s="6" t="s">
        <v>11</v>
      </c>
    </row>
    <row r="2139" spans="1:8" x14ac:dyDescent="0.25">
      <c r="A2139" s="4" t="s">
        <v>2080</v>
      </c>
      <c r="B2139" s="4" t="s">
        <v>12</v>
      </c>
      <c r="C2139" s="5">
        <v>30</v>
      </c>
      <c r="D2139" s="5">
        <v>12.55</v>
      </c>
      <c r="F2139" s="4" t="s">
        <v>9</v>
      </c>
      <c r="G2139" s="4" t="s">
        <v>2081</v>
      </c>
      <c r="H2139" s="6" t="s">
        <v>11</v>
      </c>
    </row>
    <row r="2140" spans="1:8" x14ac:dyDescent="0.25">
      <c r="A2140" s="4" t="s">
        <v>2085</v>
      </c>
      <c r="B2140" s="4" t="s">
        <v>12</v>
      </c>
      <c r="C2140" s="5">
        <v>25</v>
      </c>
      <c r="D2140" s="5">
        <v>7.8</v>
      </c>
      <c r="F2140" s="4" t="s">
        <v>9</v>
      </c>
      <c r="G2140" s="4" t="s">
        <v>2086</v>
      </c>
      <c r="H2140" s="6" t="s">
        <v>11</v>
      </c>
    </row>
    <row r="2141" spans="1:8" x14ac:dyDescent="0.25">
      <c r="A2141" s="4" t="str">
        <f>"CHOPE VAN DUTCH - AMERICAN IPA 300ML - "</f>
        <v xml:space="preserve">CHOPE VAN DUTCH - AMERICAN IPA 300ML - </v>
      </c>
      <c r="B2141" s="4" t="s">
        <v>12</v>
      </c>
      <c r="C2141" s="5">
        <v>20</v>
      </c>
      <c r="D2141" s="5">
        <v>5.71</v>
      </c>
      <c r="F2141" s="4" t="s">
        <v>9</v>
      </c>
      <c r="G2141" s="4" t="s">
        <v>2087</v>
      </c>
      <c r="H2141" s="6" t="s">
        <v>11</v>
      </c>
    </row>
    <row r="2142" spans="1:8" x14ac:dyDescent="0.25">
      <c r="A2142" s="4" t="str">
        <f>"CHOPE VAN DUTCH - AMERICAN IPA 400ML - "</f>
        <v xml:space="preserve">CHOPE VAN DUTCH - AMERICAN IPA 400ML - </v>
      </c>
      <c r="B2142" s="4" t="s">
        <v>12</v>
      </c>
      <c r="C2142" s="5">
        <v>25</v>
      </c>
      <c r="D2142" s="5">
        <v>7.61</v>
      </c>
      <c r="F2142" s="4" t="s">
        <v>9</v>
      </c>
      <c r="G2142" s="4" t="s">
        <v>2088</v>
      </c>
      <c r="H2142" s="6" t="s">
        <v>11</v>
      </c>
    </row>
    <row r="2143" spans="1:8" x14ac:dyDescent="0.25">
      <c r="A2143" s="4" t="str">
        <f>"CHOPE VAN DUTCH - AMERICAN IPA DE VERAO - 300ML "</f>
        <v xml:space="preserve">CHOPE VAN DUTCH - AMERICAN IPA DE VERAO - 300ML </v>
      </c>
      <c r="B2143" s="4" t="s">
        <v>12</v>
      </c>
      <c r="C2143" s="5">
        <v>20</v>
      </c>
      <c r="D2143" s="5">
        <v>5.85</v>
      </c>
      <c r="F2143" s="4" t="s">
        <v>9</v>
      </c>
      <c r="G2143" s="4" t="s">
        <v>2089</v>
      </c>
      <c r="H2143" s="6" t="s">
        <v>11</v>
      </c>
    </row>
    <row r="2144" spans="1:8" x14ac:dyDescent="0.25">
      <c r="A2144" s="4" t="s">
        <v>2090</v>
      </c>
      <c r="B2144" s="4" t="s">
        <v>12</v>
      </c>
      <c r="C2144" s="5">
        <v>25</v>
      </c>
      <c r="D2144" s="5">
        <v>0.35</v>
      </c>
      <c r="F2144" s="4" t="s">
        <v>9</v>
      </c>
      <c r="G2144" s="4" t="s">
        <v>2091</v>
      </c>
      <c r="H2144" s="6" t="s">
        <v>11</v>
      </c>
    </row>
    <row r="2145" spans="1:8" x14ac:dyDescent="0.25">
      <c r="A2145" s="4" t="str">
        <f>"CHOPE VAN DUTCH - QUEEN SOUR 400ML "</f>
        <v xml:space="preserve">CHOPE VAN DUTCH - QUEEN SOUR 400ML </v>
      </c>
      <c r="B2145" s="4" t="s">
        <v>12</v>
      </c>
      <c r="C2145" s="5">
        <v>25</v>
      </c>
      <c r="D2145" s="5">
        <v>0.47</v>
      </c>
      <c r="F2145" s="4" t="s">
        <v>9</v>
      </c>
      <c r="G2145" s="4" t="s">
        <v>2092</v>
      </c>
      <c r="H2145" s="6" t="s">
        <v>11</v>
      </c>
    </row>
    <row r="2146" spans="1:8" x14ac:dyDescent="0.25">
      <c r="A2146" s="4" t="s">
        <v>2094</v>
      </c>
      <c r="B2146" s="4" t="s">
        <v>12</v>
      </c>
      <c r="C2146" s="5">
        <v>20</v>
      </c>
      <c r="D2146" s="5">
        <v>5.76</v>
      </c>
      <c r="F2146" s="4" t="s">
        <v>9</v>
      </c>
      <c r="G2146" s="4" t="s">
        <v>2095</v>
      </c>
      <c r="H2146" s="6" t="s">
        <v>11</v>
      </c>
    </row>
    <row r="2147" spans="1:8" x14ac:dyDescent="0.25">
      <c r="A2147" s="4" t="str">
        <f>"CHOPE VAN DUTCH 6 ANOS AMERICAN IPA - 400ML "</f>
        <v xml:space="preserve">CHOPE VAN DUTCH 6 ANOS AMERICAN IPA - 400ML </v>
      </c>
      <c r="B2147" s="4" t="s">
        <v>12</v>
      </c>
      <c r="C2147" s="5">
        <v>25</v>
      </c>
      <c r="D2147" s="5">
        <v>7.68</v>
      </c>
      <c r="F2147" s="4" t="s">
        <v>9</v>
      </c>
      <c r="G2147" s="4" t="s">
        <v>2096</v>
      </c>
      <c r="H2147" s="6" t="s">
        <v>11</v>
      </c>
    </row>
    <row r="2148" spans="1:8" x14ac:dyDescent="0.25">
      <c r="A2148" s="4" t="s">
        <v>2100</v>
      </c>
      <c r="B2148" s="4" t="s">
        <v>12</v>
      </c>
      <c r="C2148" s="5">
        <v>20</v>
      </c>
      <c r="D2148" s="5">
        <v>6.75</v>
      </c>
      <c r="F2148" s="4" t="s">
        <v>9</v>
      </c>
      <c r="G2148" s="4" t="s">
        <v>2101</v>
      </c>
      <c r="H2148" s="6" t="s">
        <v>11</v>
      </c>
    </row>
    <row r="2149" spans="1:8" x14ac:dyDescent="0.25">
      <c r="A2149" s="4" t="str">
        <f>"CHOPE VAN DUTCH THUNDER DOPPELBOCK - 400ML "</f>
        <v xml:space="preserve">CHOPE VAN DUTCH THUNDER DOPPELBOCK - 400ML </v>
      </c>
      <c r="B2149" s="4" t="s">
        <v>12</v>
      </c>
      <c r="C2149" s="5">
        <v>25</v>
      </c>
      <c r="D2149" s="5">
        <v>9</v>
      </c>
      <c r="F2149" s="4" t="s">
        <v>9</v>
      </c>
      <c r="G2149" s="4" t="s">
        <v>2102</v>
      </c>
      <c r="H2149" s="6" t="s">
        <v>11</v>
      </c>
    </row>
    <row r="2150" spans="1:8" x14ac:dyDescent="0.25">
      <c r="A2150" s="4" t="s">
        <v>2106</v>
      </c>
      <c r="B2150" s="4" t="s">
        <v>12</v>
      </c>
      <c r="C2150" s="5">
        <v>20</v>
      </c>
      <c r="F2150" s="4" t="s">
        <v>9</v>
      </c>
      <c r="G2150" s="4" t="s">
        <v>2107</v>
      </c>
      <c r="H2150" s="6" t="s">
        <v>11</v>
      </c>
    </row>
    <row r="2151" spans="1:8" x14ac:dyDescent="0.25">
      <c r="A2151" s="4" t="s">
        <v>2108</v>
      </c>
      <c r="B2151" s="4" t="s">
        <v>12</v>
      </c>
      <c r="C2151" s="5">
        <v>25</v>
      </c>
      <c r="F2151" s="4" t="s">
        <v>9</v>
      </c>
      <c r="G2151" s="4" t="s">
        <v>2109</v>
      </c>
      <c r="H2151" s="6" t="s">
        <v>11</v>
      </c>
    </row>
    <row r="2152" spans="1:8" x14ac:dyDescent="0.25">
      <c r="A2152" s="4" t="s">
        <v>2110</v>
      </c>
      <c r="B2152" s="4" t="s">
        <v>12</v>
      </c>
      <c r="C2152" s="5">
        <v>28</v>
      </c>
      <c r="D2152" s="5">
        <v>6.44</v>
      </c>
      <c r="F2152" s="4" t="s">
        <v>9</v>
      </c>
      <c r="G2152" s="4" t="s">
        <v>2111</v>
      </c>
      <c r="H2152" s="6" t="s">
        <v>11</v>
      </c>
    </row>
    <row r="2153" spans="1:8" x14ac:dyDescent="0.25">
      <c r="A2153" s="4" t="s">
        <v>2112</v>
      </c>
      <c r="B2153" s="4" t="s">
        <v>12</v>
      </c>
      <c r="C2153" s="5">
        <v>20</v>
      </c>
      <c r="D2153" s="5">
        <v>5.33</v>
      </c>
      <c r="F2153" s="4" t="s">
        <v>9</v>
      </c>
      <c r="G2153" s="4" t="s">
        <v>2113</v>
      </c>
      <c r="H2153" s="6" t="s">
        <v>11</v>
      </c>
    </row>
    <row r="2154" spans="1:8" x14ac:dyDescent="0.25">
      <c r="A2154" s="4" t="str">
        <f>"CHOPE WAMAHOY - AUSTRALIAN IPA 400ML "</f>
        <v xml:space="preserve">CHOPE WAMAHOY - AUSTRALIAN IPA 400ML </v>
      </c>
      <c r="B2154" s="4" t="s">
        <v>12</v>
      </c>
      <c r="C2154" s="5">
        <v>25</v>
      </c>
      <c r="D2154" s="5">
        <v>7.1</v>
      </c>
      <c r="F2154" s="4" t="s">
        <v>9</v>
      </c>
      <c r="G2154" s="4" t="s">
        <v>2114</v>
      </c>
      <c r="H2154" s="6" t="s">
        <v>11</v>
      </c>
    </row>
    <row r="2155" spans="1:8" x14ac:dyDescent="0.25">
      <c r="A2155" s="4" t="str">
        <f>"CHOPE WAMAHOY - BELGIAN BLON 400ML "</f>
        <v xml:space="preserve">CHOPE WAMAHOY - BELGIAN BLON 400ML </v>
      </c>
      <c r="B2155" s="4" t="s">
        <v>12</v>
      </c>
      <c r="C2155" s="5">
        <v>25</v>
      </c>
      <c r="D2155" s="5">
        <v>7.1</v>
      </c>
      <c r="F2155" s="4" t="s">
        <v>9</v>
      </c>
      <c r="G2155" s="4" t="s">
        <v>2115</v>
      </c>
      <c r="H2155" s="6" t="s">
        <v>11</v>
      </c>
    </row>
    <row r="2156" spans="1:8" x14ac:dyDescent="0.25">
      <c r="A2156" s="4" t="str">
        <f>"CHOPE WAMAHOY - BELGIAN BLOND 300ML "</f>
        <v xml:space="preserve">CHOPE WAMAHOY - BELGIAN BLOND 300ML </v>
      </c>
      <c r="B2156" s="4" t="s">
        <v>12</v>
      </c>
      <c r="C2156" s="5">
        <v>20</v>
      </c>
      <c r="D2156" s="5">
        <v>5.33</v>
      </c>
      <c r="F2156" s="4" t="s">
        <v>9</v>
      </c>
      <c r="G2156" s="4" t="s">
        <v>2117</v>
      </c>
      <c r="H2156" s="6" t="s">
        <v>11</v>
      </c>
    </row>
    <row r="2157" spans="1:8" x14ac:dyDescent="0.25">
      <c r="A2157" s="4" t="s">
        <v>2120</v>
      </c>
      <c r="B2157" s="4" t="s">
        <v>12</v>
      </c>
      <c r="C2157" s="5">
        <v>20</v>
      </c>
      <c r="D2157" s="5">
        <v>5.45</v>
      </c>
      <c r="F2157" s="4" t="s">
        <v>9</v>
      </c>
      <c r="G2157" s="4" t="s">
        <v>2121</v>
      </c>
      <c r="H2157" s="6" t="s">
        <v>11</v>
      </c>
    </row>
    <row r="2158" spans="1:8" x14ac:dyDescent="0.25">
      <c r="A2158" s="4" t="str">
        <f>"CHOPE WAMAHOY - EXTRA STOUT 400ML "</f>
        <v xml:space="preserve">CHOPE WAMAHOY - EXTRA STOUT 400ML </v>
      </c>
      <c r="B2158" s="4" t="s">
        <v>12</v>
      </c>
      <c r="C2158" s="5">
        <v>25</v>
      </c>
      <c r="D2158" s="5">
        <v>7.26</v>
      </c>
      <c r="F2158" s="4" t="s">
        <v>9</v>
      </c>
      <c r="G2158" s="4" t="s">
        <v>2122</v>
      </c>
      <c r="H2158" s="6" t="s">
        <v>11</v>
      </c>
    </row>
    <row r="2159" spans="1:8" x14ac:dyDescent="0.25">
      <c r="A2159" s="4" t="s">
        <v>2124</v>
      </c>
      <c r="B2159" s="4" t="s">
        <v>12</v>
      </c>
      <c r="C2159" s="5">
        <v>20</v>
      </c>
      <c r="D2159" s="5">
        <v>6.43</v>
      </c>
      <c r="F2159" s="4" t="s">
        <v>9</v>
      </c>
      <c r="G2159" s="4" t="s">
        <v>2125</v>
      </c>
      <c r="H2159" s="6" t="s">
        <v>11</v>
      </c>
    </row>
    <row r="2160" spans="1:8" x14ac:dyDescent="0.25">
      <c r="A2160" s="4" t="str">
        <f>"CHOPE WAMAHOY - GOLDEN ALE - 400ML "</f>
        <v xml:space="preserve">CHOPE WAMAHOY - GOLDEN ALE - 400ML </v>
      </c>
      <c r="B2160" s="4" t="s">
        <v>12</v>
      </c>
      <c r="C2160" s="5">
        <v>25</v>
      </c>
      <c r="D2160" s="5">
        <v>6.43</v>
      </c>
      <c r="F2160" s="4" t="s">
        <v>9</v>
      </c>
      <c r="G2160" s="4" t="s">
        <v>2126</v>
      </c>
      <c r="H2160" s="6" t="s">
        <v>11</v>
      </c>
    </row>
    <row r="2161" spans="1:8" x14ac:dyDescent="0.25">
      <c r="A2161" s="4" t="s">
        <v>2129</v>
      </c>
      <c r="B2161" s="4" t="s">
        <v>12</v>
      </c>
      <c r="C2161" s="5">
        <v>20</v>
      </c>
      <c r="D2161" s="5">
        <v>5.15</v>
      </c>
      <c r="F2161" s="4" t="s">
        <v>9</v>
      </c>
      <c r="G2161" s="4" t="s">
        <v>2130</v>
      </c>
      <c r="H2161" s="6" t="s">
        <v>11</v>
      </c>
    </row>
    <row r="2162" spans="1:8" x14ac:dyDescent="0.25">
      <c r="A2162" s="4" t="s">
        <v>2131</v>
      </c>
      <c r="B2162" s="4" t="s">
        <v>12</v>
      </c>
      <c r="C2162" s="5">
        <v>25</v>
      </c>
      <c r="D2162" s="5">
        <v>6.86</v>
      </c>
      <c r="F2162" s="4" t="s">
        <v>9</v>
      </c>
      <c r="G2162" s="4" t="s">
        <v>2132</v>
      </c>
      <c r="H2162" s="6" t="s">
        <v>11</v>
      </c>
    </row>
    <row r="2163" spans="1:8" x14ac:dyDescent="0.25">
      <c r="A2163" s="4" t="s">
        <v>2134</v>
      </c>
      <c r="B2163" s="4" t="s">
        <v>12</v>
      </c>
      <c r="C2163" s="5">
        <v>20</v>
      </c>
      <c r="D2163" s="5">
        <v>5.33</v>
      </c>
      <c r="F2163" s="4" t="s">
        <v>9</v>
      </c>
      <c r="G2163" s="4" t="s">
        <v>2135</v>
      </c>
      <c r="H2163" s="6" t="s">
        <v>11</v>
      </c>
    </row>
    <row r="2164" spans="1:8" x14ac:dyDescent="0.25">
      <c r="A2164" s="4" t="str">
        <f>"CHOPE WAMAHOY - NEIPA -400ML "</f>
        <v xml:space="preserve">CHOPE WAMAHOY - NEIPA -400ML </v>
      </c>
      <c r="B2164" s="4" t="s">
        <v>12</v>
      </c>
      <c r="C2164" s="5">
        <v>25</v>
      </c>
      <c r="D2164" s="5">
        <v>7.1</v>
      </c>
      <c r="F2164" s="4" t="s">
        <v>9</v>
      </c>
      <c r="G2164" s="4" t="s">
        <v>2136</v>
      </c>
      <c r="H2164" s="6" t="s">
        <v>11</v>
      </c>
    </row>
    <row r="2165" spans="1:8" x14ac:dyDescent="0.25">
      <c r="A2165" s="4" t="str">
        <f>"CHOPE WEIZENFELD - BOCK 300ML "</f>
        <v xml:space="preserve">CHOPE WEIZENFELD - BOCK 300ML </v>
      </c>
      <c r="B2165" s="4" t="s">
        <v>12</v>
      </c>
      <c r="C2165" s="5">
        <v>20</v>
      </c>
      <c r="D2165" s="5">
        <v>7.22</v>
      </c>
      <c r="F2165" s="4" t="s">
        <v>9</v>
      </c>
      <c r="G2165" s="4" t="s">
        <v>2140</v>
      </c>
      <c r="H2165" s="6" t="s">
        <v>11</v>
      </c>
    </row>
    <row r="2166" spans="1:8" x14ac:dyDescent="0.25">
      <c r="A2166" s="4" t="str">
        <f>"CHOPE WEIZENFELD - BOCK 400ML "</f>
        <v xml:space="preserve">CHOPE WEIZENFELD - BOCK 400ML </v>
      </c>
      <c r="B2166" s="4" t="s">
        <v>12</v>
      </c>
      <c r="C2166" s="5">
        <v>25</v>
      </c>
      <c r="D2166" s="5">
        <v>9.6199999999999992</v>
      </c>
      <c r="F2166" s="4" t="s">
        <v>9</v>
      </c>
      <c r="G2166" s="4" t="s">
        <v>2141</v>
      </c>
      <c r="H2166" s="6" t="s">
        <v>11</v>
      </c>
    </row>
    <row r="2167" spans="1:8" x14ac:dyDescent="0.25">
      <c r="A2167" s="4" t="s">
        <v>2144</v>
      </c>
      <c r="B2167" s="4" t="s">
        <v>12</v>
      </c>
      <c r="C2167" s="5">
        <v>17</v>
      </c>
      <c r="D2167" s="5">
        <v>3.27</v>
      </c>
      <c r="F2167" s="4" t="s">
        <v>9</v>
      </c>
      <c r="G2167" s="4" t="s">
        <v>2145</v>
      </c>
      <c r="H2167" s="6" t="s">
        <v>11</v>
      </c>
    </row>
    <row r="2168" spans="1:8" x14ac:dyDescent="0.25">
      <c r="A2168" s="4" t="s">
        <v>2146</v>
      </c>
      <c r="B2168" s="4" t="s">
        <v>12</v>
      </c>
      <c r="C2168" s="5">
        <v>20</v>
      </c>
      <c r="D2168" s="5">
        <v>4.3600000000000003</v>
      </c>
      <c r="F2168" s="4" t="s">
        <v>9</v>
      </c>
      <c r="G2168" s="4" t="s">
        <v>2147</v>
      </c>
      <c r="H2168" s="6" t="s">
        <v>11</v>
      </c>
    </row>
    <row r="2169" spans="1:8" x14ac:dyDescent="0.25">
      <c r="A2169" s="4" t="s">
        <v>2148</v>
      </c>
      <c r="B2169" s="4" t="s">
        <v>12</v>
      </c>
      <c r="C2169" s="5">
        <v>20</v>
      </c>
      <c r="D2169" s="5">
        <v>4.7699999999999996</v>
      </c>
      <c r="F2169" s="4" t="s">
        <v>9</v>
      </c>
      <c r="G2169" s="4" t="s">
        <v>2149</v>
      </c>
      <c r="H2169" s="6" t="s">
        <v>11</v>
      </c>
    </row>
    <row r="2170" spans="1:8" x14ac:dyDescent="0.25">
      <c r="A2170" s="4" t="s">
        <v>2150</v>
      </c>
      <c r="B2170" s="4" t="s">
        <v>12</v>
      </c>
      <c r="C2170" s="5">
        <v>25</v>
      </c>
      <c r="D2170" s="5">
        <v>6.36</v>
      </c>
      <c r="F2170" s="4" t="s">
        <v>9</v>
      </c>
      <c r="G2170" s="4" t="s">
        <v>2151</v>
      </c>
      <c r="H2170" s="6" t="s">
        <v>11</v>
      </c>
    </row>
    <row r="2171" spans="1:8" x14ac:dyDescent="0.25">
      <c r="A2171" s="4" t="s">
        <v>2153</v>
      </c>
      <c r="B2171" s="4" t="s">
        <v>12</v>
      </c>
      <c r="C2171" s="5">
        <v>20</v>
      </c>
      <c r="D2171" s="5">
        <v>6.57</v>
      </c>
      <c r="F2171" s="4" t="s">
        <v>9</v>
      </c>
      <c r="G2171" s="4" t="s">
        <v>2154</v>
      </c>
      <c r="H2171" s="6" t="s">
        <v>11</v>
      </c>
    </row>
    <row r="2172" spans="1:8" x14ac:dyDescent="0.25">
      <c r="A2172" s="4" t="str">
        <f>"CHOPE WHITE FUSION - 400ML "</f>
        <v xml:space="preserve">CHOPE WHITE FUSION - 400ML </v>
      </c>
      <c r="B2172" s="4" t="s">
        <v>12</v>
      </c>
      <c r="C2172" s="5">
        <v>25</v>
      </c>
      <c r="D2172" s="5">
        <v>8.76</v>
      </c>
      <c r="F2172" s="4" t="s">
        <v>9</v>
      </c>
      <c r="G2172" s="4" t="s">
        <v>2155</v>
      </c>
      <c r="H2172" s="6" t="s">
        <v>11</v>
      </c>
    </row>
    <row r="2173" spans="1:8" x14ac:dyDescent="0.25">
      <c r="A2173" s="4" t="s">
        <v>2158</v>
      </c>
      <c r="B2173" s="4" t="s">
        <v>12</v>
      </c>
      <c r="C2173" s="5">
        <v>20</v>
      </c>
      <c r="D2173" s="5">
        <v>4.22</v>
      </c>
      <c r="F2173" s="4" t="s">
        <v>9</v>
      </c>
      <c r="G2173" s="4" t="s">
        <v>2159</v>
      </c>
      <c r="H2173" s="6" t="s">
        <v>11</v>
      </c>
    </row>
    <row r="2174" spans="1:8" x14ac:dyDescent="0.25">
      <c r="A2174" s="4" t="s">
        <v>2160</v>
      </c>
      <c r="B2174" s="4" t="s">
        <v>12</v>
      </c>
      <c r="C2174" s="5">
        <v>25</v>
      </c>
      <c r="D2174" s="5">
        <v>5.62</v>
      </c>
      <c r="F2174" s="4" t="s">
        <v>9</v>
      </c>
      <c r="G2174" s="4" t="s">
        <v>2161</v>
      </c>
      <c r="H2174" s="6" t="s">
        <v>11</v>
      </c>
    </row>
    <row r="2175" spans="1:8" x14ac:dyDescent="0.25">
      <c r="A2175" s="4" t="str">
        <f>"CHOPE XAMA  ANAHAÍ - 300ML "</f>
        <v xml:space="preserve">CHOPE XAMA  ANAHAÍ - 300ML </v>
      </c>
      <c r="B2175" s="4" t="s">
        <v>12</v>
      </c>
      <c r="C2175" s="5">
        <v>20</v>
      </c>
      <c r="D2175" s="5">
        <v>5.82</v>
      </c>
      <c r="F2175" s="4" t="s">
        <v>9</v>
      </c>
      <c r="G2175" s="4" t="s">
        <v>2164</v>
      </c>
      <c r="H2175" s="6" t="s">
        <v>11</v>
      </c>
    </row>
    <row r="2176" spans="1:8" x14ac:dyDescent="0.25">
      <c r="A2176" s="4" t="str">
        <f>"CHOPE XAMA  ANAHAÍ - 400ML "</f>
        <v xml:space="preserve">CHOPE XAMA  ANAHAÍ - 400ML </v>
      </c>
      <c r="B2176" s="4" t="s">
        <v>12</v>
      </c>
      <c r="C2176" s="5">
        <v>25</v>
      </c>
      <c r="D2176" s="5">
        <v>7.76</v>
      </c>
      <c r="F2176" s="4" t="s">
        <v>9</v>
      </c>
      <c r="G2176" s="4" t="s">
        <v>2165</v>
      </c>
      <c r="H2176" s="6" t="s">
        <v>11</v>
      </c>
    </row>
    <row r="2177" spans="1:8" x14ac:dyDescent="0.25">
      <c r="A2177" s="4" t="s">
        <v>2168</v>
      </c>
      <c r="B2177" s="4" t="s">
        <v>12</v>
      </c>
      <c r="C2177" s="5">
        <v>20</v>
      </c>
      <c r="D2177" s="5">
        <v>6.27</v>
      </c>
      <c r="F2177" s="4" t="s">
        <v>9</v>
      </c>
      <c r="G2177" s="4" t="s">
        <v>2169</v>
      </c>
      <c r="H2177" s="6" t="s">
        <v>11</v>
      </c>
    </row>
    <row r="2178" spans="1:8" x14ac:dyDescent="0.25">
      <c r="A2178" s="4" t="s">
        <v>2170</v>
      </c>
      <c r="B2178" s="4" t="s">
        <v>12</v>
      </c>
      <c r="C2178" s="5">
        <v>25</v>
      </c>
      <c r="D2178" s="5">
        <v>8.36</v>
      </c>
      <c r="F2178" s="4" t="s">
        <v>9</v>
      </c>
      <c r="G2178" s="4" t="s">
        <v>2171</v>
      </c>
      <c r="H2178" s="6" t="s">
        <v>11</v>
      </c>
    </row>
    <row r="2179" spans="1:8" x14ac:dyDescent="0.25">
      <c r="A2179" s="4" t="s">
        <v>2173</v>
      </c>
      <c r="B2179" s="4" t="s">
        <v>12</v>
      </c>
      <c r="C2179" s="5">
        <v>25</v>
      </c>
      <c r="D2179" s="5">
        <v>108</v>
      </c>
      <c r="F2179" s="4" t="s">
        <v>9</v>
      </c>
      <c r="G2179" s="4" t="s">
        <v>2174</v>
      </c>
      <c r="H2179" s="6" t="s">
        <v>11</v>
      </c>
    </row>
    <row r="2180" spans="1:8" x14ac:dyDescent="0.25">
      <c r="A2180" s="4" t="str">
        <f>"CHOPE XAMA BOIUNA PILSNER - 400ML "</f>
        <v xml:space="preserve">CHOPE XAMA BOIUNA PILSNER - 400ML </v>
      </c>
      <c r="B2180" s="4" t="s">
        <v>12</v>
      </c>
      <c r="C2180" s="5">
        <v>25</v>
      </c>
      <c r="D2180" s="5">
        <v>144</v>
      </c>
      <c r="F2180" s="4" t="s">
        <v>9</v>
      </c>
      <c r="G2180" s="4" t="s">
        <v>2175</v>
      </c>
      <c r="H2180" s="6" t="s">
        <v>11</v>
      </c>
    </row>
    <row r="2181" spans="1:8" x14ac:dyDescent="0.25">
      <c r="A2181" s="4" t="str">
        <f>"CHOPE XAMA CUIETE- 300ML "</f>
        <v xml:space="preserve">CHOPE XAMA CUIETE- 300ML </v>
      </c>
      <c r="B2181" s="4" t="s">
        <v>12</v>
      </c>
      <c r="C2181" s="5">
        <v>20</v>
      </c>
      <c r="D2181" s="5">
        <v>5.37</v>
      </c>
      <c r="F2181" s="4" t="s">
        <v>9</v>
      </c>
      <c r="G2181" s="4" t="s">
        <v>2176</v>
      </c>
      <c r="H2181" s="6" t="s">
        <v>11</v>
      </c>
    </row>
    <row r="2182" spans="1:8" x14ac:dyDescent="0.25">
      <c r="A2182" s="4" t="s">
        <v>2177</v>
      </c>
      <c r="B2182" s="4" t="s">
        <v>12</v>
      </c>
      <c r="C2182" s="5">
        <v>25</v>
      </c>
      <c r="D2182" s="5">
        <v>7.16</v>
      </c>
      <c r="F2182" s="4" t="s">
        <v>9</v>
      </c>
      <c r="G2182" s="4" t="s">
        <v>2178</v>
      </c>
      <c r="H2182" s="6" t="s">
        <v>11</v>
      </c>
    </row>
    <row r="2183" spans="1:8" x14ac:dyDescent="0.25">
      <c r="A2183" s="4" t="s">
        <v>2181</v>
      </c>
      <c r="B2183" s="4" t="s">
        <v>12</v>
      </c>
      <c r="C2183" s="5">
        <v>20</v>
      </c>
      <c r="D2183" s="5">
        <v>225</v>
      </c>
      <c r="F2183" s="4" t="s">
        <v>9</v>
      </c>
      <c r="G2183" s="4" t="s">
        <v>2182</v>
      </c>
      <c r="H2183" s="6" t="s">
        <v>11</v>
      </c>
    </row>
    <row r="2184" spans="1:8" x14ac:dyDescent="0.25">
      <c r="A2184" s="4" t="str">
        <f>"CHOPE XAMA ENLACE MERLOT - 400ML "</f>
        <v xml:space="preserve">CHOPE XAMA ENLACE MERLOT - 400ML </v>
      </c>
      <c r="B2184" s="4" t="s">
        <v>12</v>
      </c>
      <c r="C2184" s="5">
        <v>25</v>
      </c>
      <c r="D2184" s="5">
        <v>300</v>
      </c>
      <c r="F2184" s="4" t="s">
        <v>9</v>
      </c>
      <c r="G2184" s="4" t="s">
        <v>2183</v>
      </c>
      <c r="H2184" s="6" t="s">
        <v>11</v>
      </c>
    </row>
    <row r="2185" spans="1:8" x14ac:dyDescent="0.25">
      <c r="A2185" s="4" t="s">
        <v>2184</v>
      </c>
      <c r="B2185" s="4" t="s">
        <v>12</v>
      </c>
      <c r="C2185" s="5">
        <v>20</v>
      </c>
      <c r="D2185" s="5">
        <v>5.82</v>
      </c>
      <c r="F2185" s="4" t="s">
        <v>9</v>
      </c>
      <c r="G2185" s="4" t="s">
        <v>2185</v>
      </c>
      <c r="H2185" s="6" t="s">
        <v>11</v>
      </c>
    </row>
    <row r="2186" spans="1:8" x14ac:dyDescent="0.25">
      <c r="A2186" s="4" t="str">
        <f>"CHOPE XAMA FRUTAS AMARELAS - 400ML "</f>
        <v xml:space="preserve">CHOPE XAMA FRUTAS AMARELAS - 400ML </v>
      </c>
      <c r="B2186" s="4" t="s">
        <v>12</v>
      </c>
      <c r="C2186" s="5">
        <v>25</v>
      </c>
      <c r="D2186" s="5">
        <v>7.76</v>
      </c>
      <c r="F2186" s="4" t="s">
        <v>9</v>
      </c>
      <c r="G2186" s="4" t="s">
        <v>2186</v>
      </c>
      <c r="H2186" s="6" t="s">
        <v>11</v>
      </c>
    </row>
    <row r="2187" spans="1:8" x14ac:dyDescent="0.25">
      <c r="A2187" s="4" t="str">
        <f>"CHOPE XAMA MALANA TERP NEIPA 300ML "</f>
        <v xml:space="preserve">CHOPE XAMA MALANA TERP NEIPA 300ML </v>
      </c>
      <c r="B2187" s="4" t="s">
        <v>12</v>
      </c>
      <c r="C2187" s="5">
        <v>20</v>
      </c>
      <c r="D2187" s="5">
        <v>6.21</v>
      </c>
      <c r="F2187" s="4" t="s">
        <v>9</v>
      </c>
      <c r="G2187" s="4" t="s">
        <v>2189</v>
      </c>
      <c r="H2187" s="6" t="s">
        <v>11</v>
      </c>
    </row>
    <row r="2188" spans="1:8" x14ac:dyDescent="0.25">
      <c r="A2188" s="4" t="s">
        <v>2190</v>
      </c>
      <c r="B2188" s="4" t="s">
        <v>12</v>
      </c>
      <c r="C2188" s="5">
        <v>25</v>
      </c>
      <c r="D2188" s="5">
        <v>8.2799999999999994</v>
      </c>
      <c r="F2188" s="4" t="s">
        <v>9</v>
      </c>
      <c r="G2188" s="4" t="s">
        <v>2191</v>
      </c>
      <c r="H2188" s="6" t="s">
        <v>11</v>
      </c>
    </row>
    <row r="2189" spans="1:8" x14ac:dyDescent="0.25">
      <c r="A2189" s="4" t="s">
        <v>2192</v>
      </c>
      <c r="B2189" s="4" t="s">
        <v>12</v>
      </c>
      <c r="C2189" s="5">
        <v>20</v>
      </c>
      <c r="D2189" s="5">
        <v>4.47</v>
      </c>
      <c r="F2189" s="4" t="s">
        <v>9</v>
      </c>
      <c r="G2189" s="4" t="s">
        <v>2193</v>
      </c>
      <c r="H2189" s="6" t="s">
        <v>11</v>
      </c>
    </row>
    <row r="2190" spans="1:8" x14ac:dyDescent="0.25">
      <c r="A2190" s="4" t="str">
        <f>"CHOPE XAMA NECTAR HOP LAGER - 400ML "</f>
        <v xml:space="preserve">CHOPE XAMA NECTAR HOP LAGER - 400ML </v>
      </c>
      <c r="B2190" s="4" t="s">
        <v>12</v>
      </c>
      <c r="C2190" s="5">
        <v>25</v>
      </c>
      <c r="D2190" s="5">
        <v>5.96</v>
      </c>
      <c r="F2190" s="4" t="s">
        <v>9</v>
      </c>
      <c r="G2190" s="4" t="s">
        <v>2194</v>
      </c>
      <c r="H2190" s="6" t="s">
        <v>11</v>
      </c>
    </row>
    <row r="2191" spans="1:8" x14ac:dyDescent="0.25">
      <c r="A2191" s="4" t="s">
        <v>2196</v>
      </c>
      <c r="B2191" s="4" t="s">
        <v>12</v>
      </c>
      <c r="C2191" s="5">
        <v>20</v>
      </c>
      <c r="D2191" s="5">
        <v>5.82</v>
      </c>
      <c r="F2191" s="4" t="s">
        <v>9</v>
      </c>
      <c r="G2191" s="4" t="s">
        <v>2197</v>
      </c>
      <c r="H2191" s="6" t="s">
        <v>11</v>
      </c>
    </row>
    <row r="2192" spans="1:8" x14ac:dyDescent="0.25">
      <c r="A2192" s="4" t="s">
        <v>2198</v>
      </c>
      <c r="B2192" s="4" t="s">
        <v>12</v>
      </c>
      <c r="C2192" s="5">
        <v>25</v>
      </c>
      <c r="D2192" s="5">
        <v>7.76</v>
      </c>
      <c r="F2192" s="4" t="s">
        <v>9</v>
      </c>
      <c r="G2192" s="4" t="s">
        <v>2199</v>
      </c>
      <c r="H2192" s="6" t="s">
        <v>11</v>
      </c>
    </row>
    <row r="2193" spans="1:8" x14ac:dyDescent="0.25">
      <c r="A2193" s="4" t="s">
        <v>2200</v>
      </c>
      <c r="B2193" s="4" t="s">
        <v>12</v>
      </c>
      <c r="C2193" s="5">
        <v>20</v>
      </c>
      <c r="D2193" s="5">
        <v>5.82</v>
      </c>
      <c r="F2193" s="4" t="s">
        <v>9</v>
      </c>
      <c r="G2193" s="4" t="s">
        <v>2201</v>
      </c>
      <c r="H2193" s="6" t="s">
        <v>11</v>
      </c>
    </row>
    <row r="2194" spans="1:8" x14ac:dyDescent="0.25">
      <c r="A2194" s="4" t="str">
        <f>"CHOPE XAMÃ - CAJU E CAJA 400ML  "</f>
        <v xml:space="preserve">CHOPE XAMÃ - CAJU E CAJA 400ML  </v>
      </c>
      <c r="B2194" s="4" t="s">
        <v>12</v>
      </c>
      <c r="C2194" s="5">
        <v>25</v>
      </c>
      <c r="D2194" s="5">
        <v>7.76</v>
      </c>
      <c r="F2194" s="4" t="s">
        <v>9</v>
      </c>
      <c r="G2194" s="4" t="s">
        <v>2202</v>
      </c>
      <c r="H2194" s="6" t="s">
        <v>11</v>
      </c>
    </row>
    <row r="2195" spans="1:8" x14ac:dyDescent="0.25">
      <c r="A2195" s="4" t="s">
        <v>2203</v>
      </c>
      <c r="B2195" s="4" t="s">
        <v>12</v>
      </c>
      <c r="C2195" s="5">
        <v>20</v>
      </c>
      <c r="D2195" s="5">
        <v>5.82</v>
      </c>
      <c r="F2195" s="4" t="s">
        <v>9</v>
      </c>
      <c r="G2195" s="4" t="s">
        <v>2204</v>
      </c>
      <c r="H2195" s="6" t="s">
        <v>11</v>
      </c>
    </row>
    <row r="2196" spans="1:8" x14ac:dyDescent="0.25">
      <c r="A2196" s="4" t="s">
        <v>2205</v>
      </c>
      <c r="B2196" s="4" t="s">
        <v>12</v>
      </c>
      <c r="C2196" s="5">
        <v>25</v>
      </c>
      <c r="D2196" s="5">
        <v>7.76</v>
      </c>
      <c r="F2196" s="4" t="s">
        <v>9</v>
      </c>
      <c r="G2196" s="4" t="s">
        <v>2206</v>
      </c>
      <c r="H2196" s="6" t="s">
        <v>11</v>
      </c>
    </row>
    <row r="2197" spans="1:8" x14ac:dyDescent="0.25">
      <c r="A2197" s="4" t="s">
        <v>2207</v>
      </c>
      <c r="B2197" s="4" t="s">
        <v>12</v>
      </c>
      <c r="C2197" s="5">
        <v>20</v>
      </c>
      <c r="D2197" s="5">
        <v>4.17</v>
      </c>
      <c r="F2197" s="4" t="s">
        <v>9</v>
      </c>
      <c r="G2197" s="4" t="s">
        <v>2208</v>
      </c>
      <c r="H2197" s="6" t="s">
        <v>11</v>
      </c>
    </row>
    <row r="2198" spans="1:8" x14ac:dyDescent="0.25">
      <c r="A2198" s="4" t="s">
        <v>2209</v>
      </c>
      <c r="B2198" s="4" t="s">
        <v>12</v>
      </c>
      <c r="C2198" s="5">
        <v>25</v>
      </c>
      <c r="D2198" s="5">
        <v>5.56</v>
      </c>
      <c r="F2198" s="4" t="s">
        <v>9</v>
      </c>
      <c r="G2198" s="4" t="s">
        <v>2210</v>
      </c>
      <c r="H2198" s="6" t="s">
        <v>11</v>
      </c>
    </row>
    <row r="2199" spans="1:8" x14ac:dyDescent="0.25">
      <c r="A2199" s="4" t="str">
        <f>"CHOPE XP 083 - SOUR BRUTT-  300ML "</f>
        <v xml:space="preserve">CHOPE XP 083 - SOUR BRUTT-  300ML </v>
      </c>
      <c r="B2199" s="4" t="s">
        <v>12</v>
      </c>
      <c r="C2199" s="5">
        <v>20</v>
      </c>
      <c r="D2199" s="5">
        <v>5.55</v>
      </c>
      <c r="F2199" s="4" t="s">
        <v>9</v>
      </c>
      <c r="G2199" s="4" t="s">
        <v>2217</v>
      </c>
      <c r="H2199" s="6" t="s">
        <v>11</v>
      </c>
    </row>
    <row r="2200" spans="1:8" x14ac:dyDescent="0.25">
      <c r="A2200" s="4" t="s">
        <v>2218</v>
      </c>
      <c r="B2200" s="4" t="s">
        <v>12</v>
      </c>
      <c r="C2200" s="5">
        <v>25</v>
      </c>
      <c r="D2200" s="5">
        <v>7.4</v>
      </c>
      <c r="F2200" s="4" t="s">
        <v>9</v>
      </c>
      <c r="G2200" s="4" t="s">
        <v>2219</v>
      </c>
      <c r="H2200" s="6" t="s">
        <v>11</v>
      </c>
    </row>
    <row r="2201" spans="1:8" x14ac:dyDescent="0.25">
      <c r="A2201" s="4" t="str">
        <f>"CHOPE XP 086 WEST COST IPA - 300ML "</f>
        <v xml:space="preserve">CHOPE XP 086 WEST COST IPA - 300ML </v>
      </c>
      <c r="B2201" s="4" t="s">
        <v>12</v>
      </c>
      <c r="C2201" s="5">
        <v>20</v>
      </c>
      <c r="D2201" s="5">
        <v>5.31</v>
      </c>
      <c r="F2201" s="4" t="s">
        <v>9</v>
      </c>
      <c r="G2201" s="4" t="s">
        <v>2222</v>
      </c>
      <c r="H2201" s="6" t="s">
        <v>11</v>
      </c>
    </row>
    <row r="2202" spans="1:8" x14ac:dyDescent="0.25">
      <c r="A2202" s="4" t="str">
        <f>"CHOPE XP 086 WEST COST IPA - 400ML "</f>
        <v xml:space="preserve">CHOPE XP 086 WEST COST IPA - 400ML </v>
      </c>
      <c r="B2202" s="4" t="s">
        <v>12</v>
      </c>
      <c r="C2202" s="5">
        <v>25</v>
      </c>
      <c r="D2202" s="5">
        <v>7.08</v>
      </c>
      <c r="F2202" s="4" t="s">
        <v>9</v>
      </c>
      <c r="G2202" s="4" t="s">
        <v>2223</v>
      </c>
      <c r="H2202" s="6" t="s">
        <v>11</v>
      </c>
    </row>
    <row r="2203" spans="1:8" x14ac:dyDescent="0.25">
      <c r="A2203" s="4" t="s">
        <v>2224</v>
      </c>
      <c r="B2203" s="4" t="s">
        <v>12</v>
      </c>
      <c r="C2203" s="5">
        <v>20</v>
      </c>
      <c r="D2203" s="5">
        <v>6.57</v>
      </c>
      <c r="F2203" s="4" t="s">
        <v>9</v>
      </c>
      <c r="G2203" s="4" t="s">
        <v>2225</v>
      </c>
      <c r="H2203" s="6" t="s">
        <v>11</v>
      </c>
    </row>
    <row r="2204" spans="1:8" x14ac:dyDescent="0.25">
      <c r="A2204" s="4" t="s">
        <v>2226</v>
      </c>
      <c r="B2204" s="4" t="s">
        <v>12</v>
      </c>
      <c r="C2204" s="5">
        <v>25</v>
      </c>
      <c r="D2204" s="5">
        <v>8.76</v>
      </c>
      <c r="F2204" s="4" t="s">
        <v>9</v>
      </c>
      <c r="G2204" s="4" t="s">
        <v>2227</v>
      </c>
      <c r="H2204" s="6" t="s">
        <v>11</v>
      </c>
    </row>
    <row r="2205" spans="1:8" x14ac:dyDescent="0.25">
      <c r="A2205" s="4" t="s">
        <v>2228</v>
      </c>
      <c r="B2205" s="4" t="s">
        <v>12</v>
      </c>
      <c r="C2205" s="5">
        <v>20</v>
      </c>
      <c r="D2205" s="5">
        <v>4.49</v>
      </c>
      <c r="F2205" s="4" t="s">
        <v>9</v>
      </c>
      <c r="G2205" s="4" t="s">
        <v>2229</v>
      </c>
      <c r="H2205" s="6" t="s">
        <v>11</v>
      </c>
    </row>
    <row r="2206" spans="1:8" x14ac:dyDescent="0.25">
      <c r="A2206" s="4" t="str">
        <f>"CHOPE XP 090 BR ALE - 400ML "</f>
        <v xml:space="preserve">CHOPE XP 090 BR ALE - 400ML </v>
      </c>
      <c r="B2206" s="4" t="s">
        <v>12</v>
      </c>
      <c r="C2206" s="5">
        <v>25</v>
      </c>
      <c r="D2206" s="5">
        <v>5.99</v>
      </c>
      <c r="F2206" s="4" t="s">
        <v>9</v>
      </c>
      <c r="G2206" s="4" t="s">
        <v>2230</v>
      </c>
      <c r="H2206" s="6" t="s">
        <v>11</v>
      </c>
    </row>
    <row r="2207" spans="1:8" x14ac:dyDescent="0.25">
      <c r="A2207" s="4" t="str">
        <f>"CHOPE XP 091 ORANGE IPA -  300ML "</f>
        <v xml:space="preserve">CHOPE XP 091 ORANGE IPA -  300ML </v>
      </c>
      <c r="B2207" s="4" t="s">
        <v>12</v>
      </c>
      <c r="C2207" s="5">
        <v>20</v>
      </c>
      <c r="D2207" s="5">
        <v>4.54</v>
      </c>
      <c r="F2207" s="4" t="s">
        <v>9</v>
      </c>
      <c r="G2207" s="4" t="s">
        <v>2231</v>
      </c>
      <c r="H2207" s="6" t="s">
        <v>11</v>
      </c>
    </row>
    <row r="2208" spans="1:8" x14ac:dyDescent="0.25">
      <c r="A2208" s="4" t="str">
        <f>"CHOPE XP 091 ORANGE IPA -  400ML "</f>
        <v xml:space="preserve">CHOPE XP 091 ORANGE IPA -  400ML </v>
      </c>
      <c r="B2208" s="4" t="s">
        <v>12</v>
      </c>
      <c r="C2208" s="5">
        <v>25</v>
      </c>
      <c r="D2208" s="5">
        <v>6.05</v>
      </c>
      <c r="F2208" s="4" t="s">
        <v>9</v>
      </c>
      <c r="G2208" s="4" t="s">
        <v>2232</v>
      </c>
      <c r="H2208" s="6" t="s">
        <v>11</v>
      </c>
    </row>
    <row r="2209" spans="1:8" x14ac:dyDescent="0.25">
      <c r="A2209" s="4" t="s">
        <v>2235</v>
      </c>
      <c r="B2209" s="4" t="s">
        <v>12</v>
      </c>
      <c r="C2209" s="5">
        <v>20</v>
      </c>
      <c r="D2209" s="5">
        <v>6.13</v>
      </c>
      <c r="F2209" s="4" t="s">
        <v>9</v>
      </c>
      <c r="G2209" s="4" t="s">
        <v>2236</v>
      </c>
      <c r="H2209" s="6" t="s">
        <v>11</v>
      </c>
    </row>
    <row r="2210" spans="1:8" x14ac:dyDescent="0.25">
      <c r="A2210" s="4" t="str">
        <f>"CHOPE XP 89 APA BALA  - 400ML "</f>
        <v xml:space="preserve">CHOPE XP 89 APA BALA  - 400ML </v>
      </c>
      <c r="B2210" s="4" t="s">
        <v>12</v>
      </c>
      <c r="C2210" s="5">
        <v>25</v>
      </c>
      <c r="D2210" s="5">
        <v>8.17</v>
      </c>
      <c r="F2210" s="4" t="s">
        <v>9</v>
      </c>
      <c r="G2210" s="4" t="s">
        <v>2237</v>
      </c>
      <c r="H2210" s="6" t="s">
        <v>11</v>
      </c>
    </row>
    <row r="2211" spans="1:8" x14ac:dyDescent="0.25">
      <c r="A2211" s="4" t="s">
        <v>2244</v>
      </c>
      <c r="B2211" s="4" t="s">
        <v>12</v>
      </c>
      <c r="D2211" s="5">
        <v>19</v>
      </c>
      <c r="F2211" s="4" t="s">
        <v>59</v>
      </c>
      <c r="G2211" s="4" t="s">
        <v>2245</v>
      </c>
      <c r="H2211" s="6" t="s">
        <v>11</v>
      </c>
    </row>
    <row r="2212" spans="1:8" x14ac:dyDescent="0.25">
      <c r="A2212" s="4" t="s">
        <v>2246</v>
      </c>
      <c r="B2212" s="4" t="s">
        <v>12</v>
      </c>
      <c r="C2212" s="5">
        <v>20</v>
      </c>
      <c r="D2212" s="5">
        <v>5.7</v>
      </c>
      <c r="F2212" s="4" t="s">
        <v>9</v>
      </c>
      <c r="G2212" s="4" t="s">
        <v>2247</v>
      </c>
      <c r="H2212" s="6" t="s">
        <v>11</v>
      </c>
    </row>
    <row r="2213" spans="1:8" x14ac:dyDescent="0.25">
      <c r="A2213" s="4" t="s">
        <v>2248</v>
      </c>
      <c r="B2213" s="4" t="s">
        <v>12</v>
      </c>
      <c r="C2213" s="5">
        <v>25</v>
      </c>
      <c r="D2213" s="5">
        <v>7.6</v>
      </c>
      <c r="F2213" s="4" t="s">
        <v>9</v>
      </c>
      <c r="G2213" s="4" t="s">
        <v>2249</v>
      </c>
      <c r="H2213" s="6" t="s">
        <v>11</v>
      </c>
    </row>
    <row r="2214" spans="1:8" x14ac:dyDescent="0.25">
      <c r="A2214" s="4" t="str">
        <f>"CHOPE YELLOW FUSION- 400ML "</f>
        <v xml:space="preserve">CHOPE YELLOW FUSION- 400ML </v>
      </c>
      <c r="B2214" s="4" t="s">
        <v>12</v>
      </c>
      <c r="C2214" s="5">
        <v>25</v>
      </c>
      <c r="D2214" s="5">
        <v>6.06</v>
      </c>
      <c r="F2214" s="4" t="s">
        <v>9</v>
      </c>
      <c r="G2214" s="4" t="s">
        <v>2252</v>
      </c>
      <c r="H2214" s="6" t="s">
        <v>11</v>
      </c>
    </row>
    <row r="2215" spans="1:8" x14ac:dyDescent="0.25">
      <c r="A2215" s="4" t="s">
        <v>2253</v>
      </c>
      <c r="B2215" s="4" t="s">
        <v>12</v>
      </c>
      <c r="C2215" s="5">
        <v>20</v>
      </c>
      <c r="D2215" s="5">
        <v>4.55</v>
      </c>
      <c r="F2215" s="4" t="s">
        <v>9</v>
      </c>
      <c r="G2215" s="4" t="s">
        <v>2254</v>
      </c>
      <c r="H2215" s="6" t="s">
        <v>11</v>
      </c>
    </row>
    <row r="2216" spans="1:8" x14ac:dyDescent="0.25">
      <c r="A2216" s="4" t="s">
        <v>2255</v>
      </c>
      <c r="B2216" s="4" t="s">
        <v>12</v>
      </c>
      <c r="C2216" s="5">
        <v>20</v>
      </c>
      <c r="D2216" s="5">
        <v>4.62</v>
      </c>
      <c r="F2216" s="4" t="s">
        <v>9</v>
      </c>
      <c r="G2216" s="4" t="s">
        <v>2256</v>
      </c>
      <c r="H2216" s="6" t="s">
        <v>11</v>
      </c>
    </row>
    <row r="2217" spans="1:8" x14ac:dyDescent="0.25">
      <c r="A2217" s="4" t="str">
        <f>"CHOPE YELLOW RED SPIRIT- 400ML "</f>
        <v xml:space="preserve">CHOPE YELLOW RED SPIRIT- 400ML </v>
      </c>
      <c r="B2217" s="4" t="s">
        <v>12</v>
      </c>
      <c r="C2217" s="5">
        <v>25</v>
      </c>
      <c r="D2217" s="5">
        <v>6.16</v>
      </c>
      <c r="F2217" s="4" t="s">
        <v>9</v>
      </c>
      <c r="G2217" s="4" t="s">
        <v>2257</v>
      </c>
      <c r="H2217" s="6" t="s">
        <v>11</v>
      </c>
    </row>
    <row r="2218" spans="1:8" x14ac:dyDescent="0.25">
      <c r="A2218" s="4" t="s">
        <v>2260</v>
      </c>
      <c r="B2218" s="4" t="s">
        <v>12</v>
      </c>
      <c r="D2218" s="5">
        <v>6</v>
      </c>
      <c r="F2218" s="4" t="s">
        <v>9</v>
      </c>
      <c r="G2218" s="4" t="s">
        <v>2261</v>
      </c>
      <c r="H2218" s="6" t="s">
        <v>11</v>
      </c>
    </row>
    <row r="2219" spans="1:8" x14ac:dyDescent="0.25">
      <c r="A2219" s="4" t="s">
        <v>2262</v>
      </c>
      <c r="B2219" s="4" t="s">
        <v>12</v>
      </c>
      <c r="C2219" s="5">
        <v>20</v>
      </c>
      <c r="D2219" s="5">
        <v>6.45</v>
      </c>
      <c r="F2219" s="4" t="s">
        <v>9</v>
      </c>
      <c r="G2219" s="4" t="s">
        <v>2263</v>
      </c>
      <c r="H2219" s="6" t="s">
        <v>11</v>
      </c>
    </row>
    <row r="2220" spans="1:8" x14ac:dyDescent="0.25">
      <c r="A2220" s="4" t="str">
        <f>"CHOPE- SESSION IPA 400ML "</f>
        <v xml:space="preserve">CHOPE- SESSION IPA 400ML </v>
      </c>
      <c r="B2220" s="4" t="s">
        <v>12</v>
      </c>
      <c r="C2220" s="5">
        <v>25</v>
      </c>
      <c r="D2220" s="5">
        <v>8.6</v>
      </c>
      <c r="F2220" s="4" t="s">
        <v>9</v>
      </c>
      <c r="G2220" s="4" t="s">
        <v>2264</v>
      </c>
      <c r="H2220" s="6" t="s">
        <v>11</v>
      </c>
    </row>
    <row r="2221" spans="1:8" x14ac:dyDescent="0.25">
      <c r="A2221" s="4" t="s">
        <v>2265</v>
      </c>
      <c r="B2221" s="4" t="s">
        <v>12</v>
      </c>
      <c r="C2221" s="5">
        <v>44</v>
      </c>
      <c r="D2221" s="5">
        <v>22.33</v>
      </c>
      <c r="F2221" s="4" t="s">
        <v>59</v>
      </c>
      <c r="G2221" s="4" t="s">
        <v>2266</v>
      </c>
      <c r="H2221" s="6" t="s">
        <v>11</v>
      </c>
    </row>
    <row r="2222" spans="1:8" x14ac:dyDescent="0.25">
      <c r="A2222" s="4" t="s">
        <v>2274</v>
      </c>
      <c r="B2222" s="4" t="s">
        <v>12</v>
      </c>
      <c r="C2222" s="5">
        <v>20</v>
      </c>
      <c r="D2222" s="5">
        <v>0.51</v>
      </c>
      <c r="F2222" s="4" t="s">
        <v>9</v>
      </c>
      <c r="G2222" s="4" t="s">
        <v>2275</v>
      </c>
      <c r="H2222" s="6" t="s">
        <v>11</v>
      </c>
    </row>
    <row r="2223" spans="1:8" x14ac:dyDescent="0.25">
      <c r="A2223" s="4" t="str">
        <f>"CHUTA ESSA MANGA -400ML "</f>
        <v xml:space="preserve">CHUTA ESSA MANGA -400ML </v>
      </c>
      <c r="B2223" s="4" t="s">
        <v>12</v>
      </c>
      <c r="C2223" s="5">
        <v>25</v>
      </c>
      <c r="D2223" s="5">
        <v>0.68</v>
      </c>
      <c r="F2223" s="4" t="s">
        <v>9</v>
      </c>
      <c r="G2223" s="4" t="s">
        <v>2276</v>
      </c>
      <c r="H2223" s="6" t="s">
        <v>11</v>
      </c>
    </row>
    <row r="2224" spans="1:8" x14ac:dyDescent="0.25">
      <c r="A2224" s="4" t="str">
        <f>"CRIATURA DO PANTANO - 300ML "</f>
        <v xml:space="preserve">CRIATURA DO PANTANO - 300ML </v>
      </c>
      <c r="B2224" s="4" t="s">
        <v>12</v>
      </c>
      <c r="C2224" s="5">
        <v>20</v>
      </c>
      <c r="D2224" s="5">
        <v>4.55</v>
      </c>
      <c r="F2224" s="4" t="s">
        <v>9</v>
      </c>
      <c r="G2224" s="4" t="s">
        <v>2422</v>
      </c>
      <c r="H2224" s="6" t="s">
        <v>11</v>
      </c>
    </row>
    <row r="2225" spans="1:8" x14ac:dyDescent="0.25">
      <c r="A2225" s="4" t="s">
        <v>2461</v>
      </c>
      <c r="B2225" s="4" t="s">
        <v>12</v>
      </c>
      <c r="F2225" s="4" t="s">
        <v>9</v>
      </c>
      <c r="G2225" s="4" t="s">
        <v>2462</v>
      </c>
      <c r="H2225" s="6" t="s">
        <v>11</v>
      </c>
    </row>
    <row r="2226" spans="1:8" x14ac:dyDescent="0.25">
      <c r="A2226" s="4" t="s">
        <v>2463</v>
      </c>
      <c r="B2226" s="4" t="s">
        <v>12</v>
      </c>
      <c r="F2226" s="4" t="s">
        <v>9</v>
      </c>
      <c r="G2226" s="4" t="s">
        <v>2464</v>
      </c>
      <c r="H2226" s="6" t="s">
        <v>11</v>
      </c>
    </row>
    <row r="2227" spans="1:8" x14ac:dyDescent="0.25">
      <c r="A2227" s="4" t="s">
        <v>2469</v>
      </c>
      <c r="B2227" s="4" t="s">
        <v>12</v>
      </c>
      <c r="F2227" s="4" t="s">
        <v>9</v>
      </c>
      <c r="G2227" s="4" t="s">
        <v>2470</v>
      </c>
      <c r="H2227" s="6" t="s">
        <v>11</v>
      </c>
    </row>
    <row r="2228" spans="1:8" x14ac:dyDescent="0.25">
      <c r="A2228" s="4" t="s">
        <v>2471</v>
      </c>
      <c r="B2228" s="4" t="s">
        <v>12</v>
      </c>
      <c r="F2228" s="4" t="s">
        <v>9</v>
      </c>
      <c r="G2228" s="4" t="s">
        <v>2472</v>
      </c>
      <c r="H2228" s="6" t="s">
        <v>11</v>
      </c>
    </row>
    <row r="2229" spans="1:8" x14ac:dyDescent="0.25">
      <c r="A2229" s="4" t="s">
        <v>2473</v>
      </c>
      <c r="B2229" s="4" t="s">
        <v>12</v>
      </c>
      <c r="F2229" s="4" t="s">
        <v>9</v>
      </c>
      <c r="G2229" s="4" t="s">
        <v>2474</v>
      </c>
      <c r="H2229" s="6" t="s">
        <v>11</v>
      </c>
    </row>
    <row r="2230" spans="1:8" x14ac:dyDescent="0.25">
      <c r="A2230" s="4" t="s">
        <v>2475</v>
      </c>
      <c r="B2230" s="4" t="s">
        <v>12</v>
      </c>
      <c r="F2230" s="4" t="s">
        <v>9</v>
      </c>
      <c r="G2230" s="4" t="s">
        <v>2476</v>
      </c>
      <c r="H2230" s="6" t="s">
        <v>11</v>
      </c>
    </row>
    <row r="2231" spans="1:8" x14ac:dyDescent="0.25">
      <c r="A2231" s="4" t="s">
        <v>2477</v>
      </c>
      <c r="B2231" s="4" t="s">
        <v>12</v>
      </c>
      <c r="D2231" s="5">
        <v>25.5</v>
      </c>
      <c r="F2231" s="4" t="s">
        <v>9</v>
      </c>
      <c r="G2231" s="4" t="s">
        <v>2478</v>
      </c>
      <c r="H2231" s="6" t="s">
        <v>11</v>
      </c>
    </row>
    <row r="2232" spans="1:8" x14ac:dyDescent="0.25">
      <c r="A2232" s="4" t="s">
        <v>2479</v>
      </c>
      <c r="B2232" s="4" t="s">
        <v>12</v>
      </c>
      <c r="F2232" s="4" t="s">
        <v>9</v>
      </c>
      <c r="G2232" s="4" t="s">
        <v>2480</v>
      </c>
      <c r="H2232" s="6" t="s">
        <v>11</v>
      </c>
    </row>
    <row r="2233" spans="1:8" x14ac:dyDescent="0.25">
      <c r="A2233" s="4" t="s">
        <v>2481</v>
      </c>
      <c r="B2233" s="4" t="s">
        <v>12</v>
      </c>
      <c r="F2233" s="4" t="s">
        <v>9</v>
      </c>
      <c r="G2233" s="4" t="s">
        <v>2482</v>
      </c>
      <c r="H2233" s="6" t="s">
        <v>11</v>
      </c>
    </row>
    <row r="2234" spans="1:8" x14ac:dyDescent="0.25">
      <c r="A2234" s="4" t="s">
        <v>2483</v>
      </c>
      <c r="B2234" s="4" t="s">
        <v>12</v>
      </c>
      <c r="D2234" s="5">
        <v>25.9</v>
      </c>
      <c r="F2234" s="4" t="s">
        <v>9</v>
      </c>
      <c r="G2234" s="4" t="s">
        <v>2484</v>
      </c>
      <c r="H2234" s="6" t="s">
        <v>11</v>
      </c>
    </row>
    <row r="2235" spans="1:8" x14ac:dyDescent="0.25">
      <c r="A2235" s="4" t="s">
        <v>2485</v>
      </c>
      <c r="B2235" s="4" t="s">
        <v>12</v>
      </c>
      <c r="F2235" s="4" t="s">
        <v>9</v>
      </c>
      <c r="G2235" s="4" t="s">
        <v>2486</v>
      </c>
      <c r="H2235" s="6" t="s">
        <v>11</v>
      </c>
    </row>
    <row r="2236" spans="1:8" x14ac:dyDescent="0.25">
      <c r="A2236" s="4" t="s">
        <v>2487</v>
      </c>
      <c r="B2236" s="4" t="s">
        <v>12</v>
      </c>
      <c r="F2236" s="4" t="s">
        <v>9</v>
      </c>
      <c r="G2236" s="4" t="s">
        <v>2488</v>
      </c>
      <c r="H2236" s="6" t="s">
        <v>11</v>
      </c>
    </row>
    <row r="2237" spans="1:8" x14ac:dyDescent="0.25">
      <c r="A2237" s="4" t="s">
        <v>2491</v>
      </c>
      <c r="B2237" s="4" t="s">
        <v>12</v>
      </c>
      <c r="F2237" s="4" t="s">
        <v>9</v>
      </c>
      <c r="G2237" s="4" t="s">
        <v>2492</v>
      </c>
      <c r="H2237" s="6" t="s">
        <v>11</v>
      </c>
    </row>
    <row r="2238" spans="1:8" x14ac:dyDescent="0.25">
      <c r="A2238" s="4" t="s">
        <v>2493</v>
      </c>
      <c r="B2238" s="4" t="s">
        <v>12</v>
      </c>
      <c r="D2238" s="5">
        <v>16.5</v>
      </c>
      <c r="F2238" s="4" t="s">
        <v>9</v>
      </c>
      <c r="G2238" s="4" t="s">
        <v>2494</v>
      </c>
      <c r="H2238" s="6" t="s">
        <v>11</v>
      </c>
    </row>
    <row r="2239" spans="1:8" x14ac:dyDescent="0.25">
      <c r="A2239" s="4" t="s">
        <v>2495</v>
      </c>
      <c r="B2239" s="4" t="s">
        <v>12</v>
      </c>
      <c r="F2239" s="4" t="s">
        <v>9</v>
      </c>
      <c r="G2239" s="4" t="s">
        <v>2496</v>
      </c>
      <c r="H2239" s="6" t="s">
        <v>11</v>
      </c>
    </row>
    <row r="2240" spans="1:8" x14ac:dyDescent="0.25">
      <c r="A2240" s="4" t="s">
        <v>2497</v>
      </c>
      <c r="B2240" s="4" t="s">
        <v>12</v>
      </c>
      <c r="F2240" s="4" t="s">
        <v>9</v>
      </c>
      <c r="G2240" s="4" t="s">
        <v>2498</v>
      </c>
      <c r="H2240" s="6" t="s">
        <v>11</v>
      </c>
    </row>
    <row r="2241" spans="1:8" x14ac:dyDescent="0.25">
      <c r="A2241" s="4" t="s">
        <v>2499</v>
      </c>
      <c r="B2241" s="4" t="s">
        <v>12</v>
      </c>
      <c r="F2241" s="4" t="s">
        <v>9</v>
      </c>
      <c r="G2241" s="4" t="s">
        <v>2500</v>
      </c>
      <c r="H2241" s="6" t="s">
        <v>11</v>
      </c>
    </row>
    <row r="2242" spans="1:8" x14ac:dyDescent="0.25">
      <c r="A2242" s="4" t="s">
        <v>2501</v>
      </c>
      <c r="B2242" s="4" t="s">
        <v>12</v>
      </c>
      <c r="F2242" s="4" t="s">
        <v>9</v>
      </c>
      <c r="G2242" s="4" t="s">
        <v>2502</v>
      </c>
      <c r="H2242" s="6" t="s">
        <v>11</v>
      </c>
    </row>
    <row r="2243" spans="1:8" x14ac:dyDescent="0.25">
      <c r="A2243" s="4" t="s">
        <v>2503</v>
      </c>
      <c r="B2243" s="4" t="s">
        <v>12</v>
      </c>
      <c r="F2243" s="4" t="s">
        <v>9</v>
      </c>
      <c r="G2243" s="4" t="s">
        <v>2504</v>
      </c>
      <c r="H2243" s="6" t="s">
        <v>11</v>
      </c>
    </row>
    <row r="2244" spans="1:8" x14ac:dyDescent="0.25">
      <c r="A2244" s="4" t="s">
        <v>2505</v>
      </c>
      <c r="B2244" s="4" t="s">
        <v>12</v>
      </c>
      <c r="F2244" s="4" t="s">
        <v>9</v>
      </c>
      <c r="G2244" s="4" t="s">
        <v>2506</v>
      </c>
      <c r="H2244" s="6" t="s">
        <v>11</v>
      </c>
    </row>
    <row r="2245" spans="1:8" x14ac:dyDescent="0.25">
      <c r="A2245" s="4" t="s">
        <v>2507</v>
      </c>
      <c r="B2245" s="4" t="s">
        <v>12</v>
      </c>
      <c r="F2245" s="4" t="s">
        <v>9</v>
      </c>
      <c r="G2245" s="4" t="s">
        <v>2508</v>
      </c>
      <c r="H2245" s="6" t="s">
        <v>11</v>
      </c>
    </row>
    <row r="2246" spans="1:8" x14ac:dyDescent="0.25">
      <c r="A2246" s="4" t="s">
        <v>2509</v>
      </c>
      <c r="B2246" s="4" t="s">
        <v>12</v>
      </c>
      <c r="F2246" s="4" t="s">
        <v>9</v>
      </c>
      <c r="G2246" s="4" t="s">
        <v>2510</v>
      </c>
      <c r="H2246" s="6" t="s">
        <v>11</v>
      </c>
    </row>
    <row r="2247" spans="1:8" x14ac:dyDescent="0.25">
      <c r="A2247" s="4" t="s">
        <v>2511</v>
      </c>
      <c r="B2247" s="4" t="s">
        <v>12</v>
      </c>
      <c r="F2247" s="4" t="s">
        <v>9</v>
      </c>
      <c r="G2247" s="4" t="s">
        <v>2512</v>
      </c>
      <c r="H2247" s="6" t="s">
        <v>11</v>
      </c>
    </row>
    <row r="2248" spans="1:8" x14ac:dyDescent="0.25">
      <c r="A2248" s="4" t="s">
        <v>2513</v>
      </c>
      <c r="B2248" s="4" t="s">
        <v>12</v>
      </c>
      <c r="F2248" s="4" t="s">
        <v>9</v>
      </c>
      <c r="G2248" s="4" t="s">
        <v>2514</v>
      </c>
      <c r="H2248" s="6" t="s">
        <v>11</v>
      </c>
    </row>
    <row r="2249" spans="1:8" x14ac:dyDescent="0.25">
      <c r="A2249" s="4" t="s">
        <v>2515</v>
      </c>
      <c r="B2249" s="4" t="s">
        <v>12</v>
      </c>
      <c r="F2249" s="4" t="s">
        <v>9</v>
      </c>
      <c r="G2249" s="4" t="s">
        <v>2516</v>
      </c>
      <c r="H2249" s="6" t="s">
        <v>11</v>
      </c>
    </row>
    <row r="2250" spans="1:8" x14ac:dyDescent="0.25">
      <c r="A2250" s="4" t="s">
        <v>2517</v>
      </c>
      <c r="B2250" s="4" t="s">
        <v>12</v>
      </c>
      <c r="F2250" s="4" t="s">
        <v>9</v>
      </c>
      <c r="G2250" s="4" t="s">
        <v>2518</v>
      </c>
      <c r="H2250" s="6" t="s">
        <v>11</v>
      </c>
    </row>
    <row r="2251" spans="1:8" x14ac:dyDescent="0.25">
      <c r="A2251" s="4" t="s">
        <v>2519</v>
      </c>
      <c r="B2251" s="4" t="s">
        <v>12</v>
      </c>
      <c r="F2251" s="4" t="s">
        <v>9</v>
      </c>
      <c r="G2251" s="4" t="s">
        <v>2520</v>
      </c>
      <c r="H2251" s="6" t="s">
        <v>11</v>
      </c>
    </row>
    <row r="2252" spans="1:8" x14ac:dyDescent="0.25">
      <c r="A2252" s="4" t="s">
        <v>2521</v>
      </c>
      <c r="B2252" s="4" t="s">
        <v>12</v>
      </c>
      <c r="F2252" s="4" t="s">
        <v>9</v>
      </c>
      <c r="G2252" s="4" t="s">
        <v>2522</v>
      </c>
      <c r="H2252" s="6" t="s">
        <v>11</v>
      </c>
    </row>
    <row r="2253" spans="1:8" x14ac:dyDescent="0.25">
      <c r="A2253" s="4" t="s">
        <v>2523</v>
      </c>
      <c r="B2253" s="4" t="s">
        <v>12</v>
      </c>
      <c r="F2253" s="4" t="s">
        <v>9</v>
      </c>
      <c r="G2253" s="4" t="s">
        <v>2524</v>
      </c>
      <c r="H2253" s="6" t="s">
        <v>11</v>
      </c>
    </row>
    <row r="2254" spans="1:8" x14ac:dyDescent="0.25">
      <c r="A2254" s="4" t="s">
        <v>2525</v>
      </c>
      <c r="B2254" s="4" t="s">
        <v>12</v>
      </c>
      <c r="F2254" s="4" t="s">
        <v>9</v>
      </c>
      <c r="G2254" s="4" t="s">
        <v>2526</v>
      </c>
      <c r="H2254" s="6" t="s">
        <v>11</v>
      </c>
    </row>
    <row r="2255" spans="1:8" x14ac:dyDescent="0.25">
      <c r="A2255" s="4" t="s">
        <v>2527</v>
      </c>
      <c r="B2255" s="4" t="s">
        <v>12</v>
      </c>
      <c r="D2255" s="5">
        <v>19.95</v>
      </c>
      <c r="F2255" s="4" t="s">
        <v>9</v>
      </c>
      <c r="G2255" s="4" t="s">
        <v>2528</v>
      </c>
      <c r="H2255" s="6" t="s">
        <v>11</v>
      </c>
    </row>
    <row r="2256" spans="1:8" x14ac:dyDescent="0.25">
      <c r="A2256" s="4" t="s">
        <v>2529</v>
      </c>
      <c r="B2256" s="4" t="s">
        <v>12</v>
      </c>
      <c r="F2256" s="4" t="s">
        <v>9</v>
      </c>
      <c r="G2256" s="4" t="s">
        <v>2530</v>
      </c>
      <c r="H2256" s="6" t="s">
        <v>11</v>
      </c>
    </row>
    <row r="2257" spans="1:8" x14ac:dyDescent="0.25">
      <c r="A2257" s="4" t="s">
        <v>2531</v>
      </c>
      <c r="B2257" s="4" t="s">
        <v>12</v>
      </c>
      <c r="F2257" s="4" t="s">
        <v>9</v>
      </c>
      <c r="G2257" s="4" t="s">
        <v>2532</v>
      </c>
      <c r="H2257" s="6" t="s">
        <v>11</v>
      </c>
    </row>
    <row r="2258" spans="1:8" x14ac:dyDescent="0.25">
      <c r="A2258" s="4" t="s">
        <v>2533</v>
      </c>
      <c r="B2258" s="4" t="s">
        <v>12</v>
      </c>
      <c r="F2258" s="4" t="s">
        <v>9</v>
      </c>
      <c r="G2258" s="4" t="s">
        <v>2534</v>
      </c>
      <c r="H2258" s="6" t="s">
        <v>11</v>
      </c>
    </row>
    <row r="2259" spans="1:8" x14ac:dyDescent="0.25">
      <c r="A2259" s="4" t="s">
        <v>2535</v>
      </c>
      <c r="B2259" s="4" t="s">
        <v>12</v>
      </c>
      <c r="F2259" s="4" t="s">
        <v>9</v>
      </c>
      <c r="G2259" s="4" t="s">
        <v>2536</v>
      </c>
      <c r="H2259" s="6" t="s">
        <v>11</v>
      </c>
    </row>
    <row r="2260" spans="1:8" x14ac:dyDescent="0.25">
      <c r="A2260" s="4" t="s">
        <v>2537</v>
      </c>
      <c r="B2260" s="4" t="s">
        <v>12</v>
      </c>
      <c r="F2260" s="4" t="s">
        <v>9</v>
      </c>
      <c r="G2260" s="4" t="s">
        <v>2538</v>
      </c>
      <c r="H2260" s="6" t="s">
        <v>11</v>
      </c>
    </row>
    <row r="2261" spans="1:8" x14ac:dyDescent="0.25">
      <c r="A2261" s="4" t="s">
        <v>2541</v>
      </c>
      <c r="B2261" s="4" t="s">
        <v>12</v>
      </c>
      <c r="F2261" s="4" t="s">
        <v>9</v>
      </c>
      <c r="G2261" s="4" t="s">
        <v>2542</v>
      </c>
      <c r="H2261" s="6" t="s">
        <v>11</v>
      </c>
    </row>
    <row r="2262" spans="1:8" x14ac:dyDescent="0.25">
      <c r="A2262" s="4" t="s">
        <v>2543</v>
      </c>
      <c r="B2262" s="4" t="s">
        <v>12</v>
      </c>
      <c r="F2262" s="4" t="s">
        <v>9</v>
      </c>
      <c r="G2262" s="4" t="s">
        <v>2544</v>
      </c>
      <c r="H2262" s="6" t="s">
        <v>11</v>
      </c>
    </row>
    <row r="2263" spans="1:8" x14ac:dyDescent="0.25">
      <c r="A2263" s="4" t="s">
        <v>2545</v>
      </c>
      <c r="B2263" s="4" t="s">
        <v>12</v>
      </c>
      <c r="F2263" s="4" t="s">
        <v>9</v>
      </c>
      <c r="G2263" s="4" t="s">
        <v>2546</v>
      </c>
      <c r="H2263" s="6" t="s">
        <v>11</v>
      </c>
    </row>
    <row r="2264" spans="1:8" x14ac:dyDescent="0.25">
      <c r="A2264" s="4" t="s">
        <v>2547</v>
      </c>
      <c r="B2264" s="4" t="s">
        <v>12</v>
      </c>
      <c r="F2264" s="4" t="s">
        <v>9</v>
      </c>
      <c r="G2264" s="4" t="s">
        <v>2548</v>
      </c>
      <c r="H2264" s="6" t="s">
        <v>11</v>
      </c>
    </row>
    <row r="2265" spans="1:8" x14ac:dyDescent="0.25">
      <c r="A2265" s="4" t="s">
        <v>2549</v>
      </c>
      <c r="B2265" s="4" t="s">
        <v>12</v>
      </c>
      <c r="F2265" s="4" t="s">
        <v>9</v>
      </c>
      <c r="G2265" s="4" t="s">
        <v>2550</v>
      </c>
      <c r="H2265" s="6" t="s">
        <v>11</v>
      </c>
    </row>
    <row r="2266" spans="1:8" x14ac:dyDescent="0.25">
      <c r="A2266" s="4" t="s">
        <v>2551</v>
      </c>
      <c r="B2266" s="4" t="s">
        <v>12</v>
      </c>
      <c r="F2266" s="4" t="s">
        <v>9</v>
      </c>
      <c r="G2266" s="4" t="s">
        <v>2552</v>
      </c>
      <c r="H2266" s="6" t="s">
        <v>11</v>
      </c>
    </row>
    <row r="2267" spans="1:8" x14ac:dyDescent="0.25">
      <c r="A2267" s="4" t="s">
        <v>2553</v>
      </c>
      <c r="B2267" s="4" t="s">
        <v>12</v>
      </c>
      <c r="F2267" s="4" t="s">
        <v>9</v>
      </c>
      <c r="G2267" s="4" t="s">
        <v>2554</v>
      </c>
      <c r="H2267" s="6" t="s">
        <v>11</v>
      </c>
    </row>
    <row r="2268" spans="1:8" x14ac:dyDescent="0.25">
      <c r="A2268" s="4" t="s">
        <v>2555</v>
      </c>
      <c r="B2268" s="4" t="s">
        <v>12</v>
      </c>
      <c r="F2268" s="4" t="s">
        <v>9</v>
      </c>
      <c r="G2268" s="4" t="s">
        <v>2556</v>
      </c>
      <c r="H2268" s="6" t="s">
        <v>11</v>
      </c>
    </row>
    <row r="2269" spans="1:8" x14ac:dyDescent="0.25">
      <c r="A2269" s="4" t="s">
        <v>2557</v>
      </c>
      <c r="B2269" s="4" t="s">
        <v>12</v>
      </c>
      <c r="F2269" s="4" t="s">
        <v>9</v>
      </c>
      <c r="G2269" s="4" t="s">
        <v>2558</v>
      </c>
      <c r="H2269" s="6" t="s">
        <v>11</v>
      </c>
    </row>
    <row r="2270" spans="1:8" x14ac:dyDescent="0.25">
      <c r="A2270" s="4" t="s">
        <v>2559</v>
      </c>
      <c r="B2270" s="4" t="s">
        <v>12</v>
      </c>
      <c r="F2270" s="4" t="s">
        <v>9</v>
      </c>
      <c r="G2270" s="4" t="s">
        <v>2560</v>
      </c>
      <c r="H2270" s="6" t="s">
        <v>11</v>
      </c>
    </row>
    <row r="2271" spans="1:8" x14ac:dyDescent="0.25">
      <c r="A2271" s="4" t="s">
        <v>2561</v>
      </c>
      <c r="B2271" s="4" t="s">
        <v>12</v>
      </c>
      <c r="F2271" s="4" t="s">
        <v>9</v>
      </c>
      <c r="G2271" s="4" t="s">
        <v>2562</v>
      </c>
      <c r="H2271" s="6" t="s">
        <v>11</v>
      </c>
    </row>
    <row r="2272" spans="1:8" x14ac:dyDescent="0.25">
      <c r="A2272" s="4" t="s">
        <v>2563</v>
      </c>
      <c r="B2272" s="4" t="s">
        <v>12</v>
      </c>
      <c r="D2272" s="5">
        <v>22</v>
      </c>
      <c r="F2272" s="4" t="s">
        <v>9</v>
      </c>
      <c r="G2272" s="4" t="s">
        <v>2564</v>
      </c>
      <c r="H2272" s="6" t="s">
        <v>11</v>
      </c>
    </row>
    <row r="2273" spans="1:8" x14ac:dyDescent="0.25">
      <c r="A2273" s="4" t="s">
        <v>2565</v>
      </c>
      <c r="B2273" s="4" t="s">
        <v>12</v>
      </c>
      <c r="F2273" s="4" t="s">
        <v>9</v>
      </c>
      <c r="G2273" s="4" t="s">
        <v>2566</v>
      </c>
      <c r="H2273" s="6" t="s">
        <v>11</v>
      </c>
    </row>
    <row r="2274" spans="1:8" x14ac:dyDescent="0.25">
      <c r="A2274" s="4" t="s">
        <v>2567</v>
      </c>
      <c r="B2274" s="4" t="s">
        <v>12</v>
      </c>
      <c r="D2274" s="5">
        <v>18.61</v>
      </c>
      <c r="F2274" s="4" t="s">
        <v>9</v>
      </c>
      <c r="G2274" s="4" t="s">
        <v>2568</v>
      </c>
      <c r="H2274" s="6" t="s">
        <v>11</v>
      </c>
    </row>
    <row r="2275" spans="1:8" x14ac:dyDescent="0.25">
      <c r="A2275" s="4" t="s">
        <v>2569</v>
      </c>
      <c r="B2275" s="4" t="s">
        <v>12</v>
      </c>
      <c r="F2275" s="4" t="s">
        <v>9</v>
      </c>
      <c r="G2275" s="4" t="s">
        <v>2570</v>
      </c>
      <c r="H2275" s="6" t="s">
        <v>11</v>
      </c>
    </row>
    <row r="2276" spans="1:8" x14ac:dyDescent="0.25">
      <c r="A2276" s="4" t="s">
        <v>2571</v>
      </c>
      <c r="B2276" s="4" t="s">
        <v>12</v>
      </c>
      <c r="F2276" s="4" t="s">
        <v>9</v>
      </c>
      <c r="G2276" s="4" t="s">
        <v>2572</v>
      </c>
      <c r="H2276" s="6" t="s">
        <v>11</v>
      </c>
    </row>
    <row r="2277" spans="1:8" x14ac:dyDescent="0.25">
      <c r="A2277" s="4" t="s">
        <v>2571</v>
      </c>
      <c r="B2277" s="4" t="s">
        <v>12</v>
      </c>
      <c r="F2277" s="4" t="s">
        <v>9</v>
      </c>
      <c r="G2277" s="4" t="s">
        <v>2573</v>
      </c>
      <c r="H2277" s="6" t="s">
        <v>11</v>
      </c>
    </row>
    <row r="2278" spans="1:8" x14ac:dyDescent="0.25">
      <c r="A2278" s="4" t="s">
        <v>2576</v>
      </c>
      <c r="B2278" s="4" t="s">
        <v>12</v>
      </c>
      <c r="F2278" s="4" t="s">
        <v>9</v>
      </c>
      <c r="G2278" s="4" t="s">
        <v>2577</v>
      </c>
      <c r="H2278" s="6" t="s">
        <v>11</v>
      </c>
    </row>
    <row r="2279" spans="1:8" x14ac:dyDescent="0.25">
      <c r="A2279" s="4" t="s">
        <v>2578</v>
      </c>
      <c r="B2279" s="4" t="s">
        <v>12</v>
      </c>
      <c r="F2279" s="4" t="s">
        <v>9</v>
      </c>
      <c r="G2279" s="4" t="s">
        <v>2579</v>
      </c>
      <c r="H2279" s="6" t="s">
        <v>11</v>
      </c>
    </row>
    <row r="2280" spans="1:8" x14ac:dyDescent="0.25">
      <c r="A2280" s="4" t="s">
        <v>2580</v>
      </c>
      <c r="B2280" s="4" t="s">
        <v>12</v>
      </c>
      <c r="F2280" s="4" t="s">
        <v>9</v>
      </c>
      <c r="G2280" s="4" t="s">
        <v>2581</v>
      </c>
      <c r="H2280" s="6" t="s">
        <v>11</v>
      </c>
    </row>
    <row r="2281" spans="1:8" x14ac:dyDescent="0.25">
      <c r="A2281" s="4" t="s">
        <v>2582</v>
      </c>
      <c r="B2281" s="4" t="s">
        <v>12</v>
      </c>
      <c r="D2281" s="5">
        <v>19.61</v>
      </c>
      <c r="F2281" s="4" t="s">
        <v>9</v>
      </c>
      <c r="G2281" s="4" t="s">
        <v>2583</v>
      </c>
      <c r="H2281" s="6" t="s">
        <v>11</v>
      </c>
    </row>
    <row r="2282" spans="1:8" x14ac:dyDescent="0.25">
      <c r="A2282" s="4" t="s">
        <v>2584</v>
      </c>
      <c r="B2282" s="4" t="s">
        <v>12</v>
      </c>
      <c r="F2282" s="4" t="s">
        <v>9</v>
      </c>
      <c r="G2282" s="4" t="s">
        <v>2585</v>
      </c>
      <c r="H2282" s="6" t="s">
        <v>11</v>
      </c>
    </row>
    <row r="2283" spans="1:8" x14ac:dyDescent="0.25">
      <c r="A2283" s="4" t="s">
        <v>2586</v>
      </c>
      <c r="B2283" s="4" t="s">
        <v>12</v>
      </c>
      <c r="F2283" s="4" t="s">
        <v>9</v>
      </c>
      <c r="G2283" s="4" t="s">
        <v>2587</v>
      </c>
      <c r="H2283" s="6" t="s">
        <v>11</v>
      </c>
    </row>
    <row r="2284" spans="1:8" x14ac:dyDescent="0.25">
      <c r="A2284" s="4" t="s">
        <v>2588</v>
      </c>
      <c r="B2284" s="4" t="s">
        <v>12</v>
      </c>
      <c r="F2284" s="4" t="s">
        <v>9</v>
      </c>
      <c r="G2284" s="4" t="s">
        <v>2589</v>
      </c>
      <c r="H2284" s="6" t="s">
        <v>11</v>
      </c>
    </row>
    <row r="2285" spans="1:8" x14ac:dyDescent="0.25">
      <c r="A2285" s="4" t="s">
        <v>2590</v>
      </c>
      <c r="B2285" s="4" t="s">
        <v>12</v>
      </c>
      <c r="F2285" s="4" t="s">
        <v>9</v>
      </c>
      <c r="G2285" s="4" t="s">
        <v>2591</v>
      </c>
      <c r="H2285" s="6" t="s">
        <v>11</v>
      </c>
    </row>
    <row r="2286" spans="1:8" x14ac:dyDescent="0.25">
      <c r="A2286" s="4" t="s">
        <v>2592</v>
      </c>
      <c r="B2286" s="4" t="s">
        <v>12</v>
      </c>
      <c r="F2286" s="4" t="s">
        <v>9</v>
      </c>
      <c r="G2286" s="4" t="s">
        <v>2593</v>
      </c>
      <c r="H2286" s="6" t="s">
        <v>11</v>
      </c>
    </row>
    <row r="2287" spans="1:8" x14ac:dyDescent="0.25">
      <c r="A2287" s="4" t="s">
        <v>2596</v>
      </c>
      <c r="B2287" s="4" t="s">
        <v>12</v>
      </c>
      <c r="F2287" s="4" t="s">
        <v>9</v>
      </c>
      <c r="G2287" s="4" t="s">
        <v>2597</v>
      </c>
      <c r="H2287" s="6" t="s">
        <v>11</v>
      </c>
    </row>
    <row r="2288" spans="1:8" x14ac:dyDescent="0.25">
      <c r="A2288" s="4" t="s">
        <v>2598</v>
      </c>
      <c r="B2288" s="4" t="s">
        <v>12</v>
      </c>
      <c r="F2288" s="4" t="s">
        <v>9</v>
      </c>
      <c r="G2288" s="4" t="s">
        <v>2599</v>
      </c>
      <c r="H2288" s="6" t="s">
        <v>11</v>
      </c>
    </row>
    <row r="2289" spans="1:8" x14ac:dyDescent="0.25">
      <c r="A2289" s="4" t="str">
        <f>"Chope Joy Project - Place For Everything Double New England "</f>
        <v xml:space="preserve">Chope Joy Project - Place For Everything Double New England </v>
      </c>
      <c r="B2289" s="4" t="s">
        <v>12</v>
      </c>
      <c r="F2289" s="4" t="s">
        <v>9</v>
      </c>
      <c r="G2289" s="4" t="s">
        <v>2600</v>
      </c>
      <c r="H2289" s="6" t="s">
        <v>11</v>
      </c>
    </row>
    <row r="2290" spans="1:8" x14ac:dyDescent="0.25">
      <c r="A2290" s="4" t="s">
        <v>2601</v>
      </c>
      <c r="B2290" s="4" t="s">
        <v>12</v>
      </c>
      <c r="F2290" s="4" t="s">
        <v>9</v>
      </c>
      <c r="G2290" s="4" t="s">
        <v>2602</v>
      </c>
      <c r="H2290" s="6" t="s">
        <v>11</v>
      </c>
    </row>
    <row r="2291" spans="1:8" x14ac:dyDescent="0.25">
      <c r="A2291" s="4" t="s">
        <v>2603</v>
      </c>
      <c r="B2291" s="4" t="s">
        <v>12</v>
      </c>
      <c r="F2291" s="4" t="s">
        <v>9</v>
      </c>
      <c r="G2291" s="4" t="s">
        <v>2604</v>
      </c>
      <c r="H2291" s="6" t="s">
        <v>11</v>
      </c>
    </row>
    <row r="2292" spans="1:8" x14ac:dyDescent="0.25">
      <c r="A2292" s="4" t="s">
        <v>2605</v>
      </c>
      <c r="B2292" s="4" t="s">
        <v>12</v>
      </c>
      <c r="F2292" s="4" t="s">
        <v>9</v>
      </c>
      <c r="G2292" s="4" t="s">
        <v>2606</v>
      </c>
      <c r="H2292" s="6" t="s">
        <v>11</v>
      </c>
    </row>
    <row r="2293" spans="1:8" x14ac:dyDescent="0.25">
      <c r="A2293" s="4" t="s">
        <v>2607</v>
      </c>
      <c r="B2293" s="4" t="s">
        <v>12</v>
      </c>
      <c r="F2293" s="4" t="s">
        <v>9</v>
      </c>
      <c r="G2293" s="4" t="s">
        <v>2608</v>
      </c>
      <c r="H2293" s="6" t="s">
        <v>11</v>
      </c>
    </row>
    <row r="2294" spans="1:8" x14ac:dyDescent="0.25">
      <c r="A2294" s="4" t="s">
        <v>2609</v>
      </c>
      <c r="B2294" s="4" t="s">
        <v>12</v>
      </c>
      <c r="F2294" s="4" t="s">
        <v>9</v>
      </c>
      <c r="G2294" s="4" t="s">
        <v>2610</v>
      </c>
      <c r="H2294" s="6" t="s">
        <v>11</v>
      </c>
    </row>
    <row r="2295" spans="1:8" x14ac:dyDescent="0.25">
      <c r="A2295" s="4" t="s">
        <v>2611</v>
      </c>
      <c r="B2295" s="4" t="s">
        <v>12</v>
      </c>
      <c r="F2295" s="4" t="s">
        <v>9</v>
      </c>
      <c r="G2295" s="4" t="s">
        <v>2612</v>
      </c>
      <c r="H2295" s="6" t="s">
        <v>11</v>
      </c>
    </row>
    <row r="2296" spans="1:8" x14ac:dyDescent="0.25">
      <c r="A2296" s="4" t="s">
        <v>2613</v>
      </c>
      <c r="B2296" s="4" t="s">
        <v>12</v>
      </c>
      <c r="F2296" s="4" t="s">
        <v>9</v>
      </c>
      <c r="G2296" s="4" t="s">
        <v>2614</v>
      </c>
      <c r="H2296" s="6" t="s">
        <v>11</v>
      </c>
    </row>
    <row r="2297" spans="1:8" x14ac:dyDescent="0.25">
      <c r="A2297" s="4" t="s">
        <v>2615</v>
      </c>
      <c r="B2297" s="4" t="s">
        <v>12</v>
      </c>
      <c r="F2297" s="4" t="s">
        <v>9</v>
      </c>
      <c r="G2297" s="4" t="s">
        <v>2616</v>
      </c>
      <c r="H2297" s="6" t="s">
        <v>11</v>
      </c>
    </row>
    <row r="2298" spans="1:8" x14ac:dyDescent="0.25">
      <c r="A2298" s="4" t="s">
        <v>2617</v>
      </c>
      <c r="B2298" s="4" t="s">
        <v>12</v>
      </c>
      <c r="F2298" s="4" t="s">
        <v>9</v>
      </c>
      <c r="G2298" s="4" t="s">
        <v>2618</v>
      </c>
      <c r="H2298" s="6" t="s">
        <v>11</v>
      </c>
    </row>
    <row r="2299" spans="1:8" x14ac:dyDescent="0.25">
      <c r="A2299" s="4" t="s">
        <v>2619</v>
      </c>
      <c r="B2299" s="4" t="s">
        <v>12</v>
      </c>
      <c r="F2299" s="4" t="s">
        <v>9</v>
      </c>
      <c r="G2299" s="4" t="s">
        <v>2620</v>
      </c>
      <c r="H2299" s="6" t="s">
        <v>11</v>
      </c>
    </row>
    <row r="2300" spans="1:8" x14ac:dyDescent="0.25">
      <c r="A2300" s="4" t="s">
        <v>2621</v>
      </c>
      <c r="B2300" s="4" t="s">
        <v>12</v>
      </c>
      <c r="F2300" s="4" t="s">
        <v>9</v>
      </c>
      <c r="G2300" s="4" t="s">
        <v>2622</v>
      </c>
      <c r="H2300" s="6" t="s">
        <v>11</v>
      </c>
    </row>
    <row r="2301" spans="1:8" x14ac:dyDescent="0.25">
      <c r="A2301" s="4" t="s">
        <v>2623</v>
      </c>
      <c r="B2301" s="4" t="s">
        <v>12</v>
      </c>
      <c r="F2301" s="4" t="s">
        <v>9</v>
      </c>
      <c r="G2301" s="4" t="s">
        <v>2624</v>
      </c>
      <c r="H2301" s="6" t="s">
        <v>11</v>
      </c>
    </row>
    <row r="2302" spans="1:8" x14ac:dyDescent="0.25">
      <c r="A2302" s="4" t="s">
        <v>2625</v>
      </c>
      <c r="B2302" s="4" t="s">
        <v>12</v>
      </c>
      <c r="F2302" s="4" t="s">
        <v>9</v>
      </c>
      <c r="G2302" s="4" t="s">
        <v>2626</v>
      </c>
      <c r="H2302" s="6" t="s">
        <v>11</v>
      </c>
    </row>
    <row r="2303" spans="1:8" x14ac:dyDescent="0.25">
      <c r="A2303" s="4" t="s">
        <v>2627</v>
      </c>
      <c r="B2303" s="4" t="s">
        <v>12</v>
      </c>
      <c r="F2303" s="4" t="s">
        <v>9</v>
      </c>
      <c r="G2303" s="4" t="s">
        <v>2628</v>
      </c>
      <c r="H2303" s="6" t="s">
        <v>11</v>
      </c>
    </row>
    <row r="2304" spans="1:8" x14ac:dyDescent="0.25">
      <c r="A2304" s="4" t="s">
        <v>2629</v>
      </c>
      <c r="B2304" s="4" t="s">
        <v>12</v>
      </c>
      <c r="F2304" s="4" t="s">
        <v>9</v>
      </c>
      <c r="G2304" s="4" t="s">
        <v>2630</v>
      </c>
      <c r="H2304" s="6" t="s">
        <v>11</v>
      </c>
    </row>
    <row r="2305" spans="1:8" x14ac:dyDescent="0.25">
      <c r="A2305" s="4" t="s">
        <v>2631</v>
      </c>
      <c r="B2305" s="4" t="s">
        <v>12</v>
      </c>
      <c r="F2305" s="4" t="s">
        <v>9</v>
      </c>
      <c r="G2305" s="4" t="s">
        <v>2632</v>
      </c>
      <c r="H2305" s="6" t="s">
        <v>11</v>
      </c>
    </row>
    <row r="2306" spans="1:8" x14ac:dyDescent="0.25">
      <c r="A2306" s="4" t="s">
        <v>2633</v>
      </c>
      <c r="B2306" s="4" t="s">
        <v>12</v>
      </c>
      <c r="F2306" s="4" t="s">
        <v>9</v>
      </c>
      <c r="G2306" s="4" t="s">
        <v>2634</v>
      </c>
      <c r="H2306" s="6" t="s">
        <v>11</v>
      </c>
    </row>
    <row r="2307" spans="1:8" x14ac:dyDescent="0.25">
      <c r="A2307" s="4" t="s">
        <v>2635</v>
      </c>
      <c r="B2307" s="4" t="s">
        <v>12</v>
      </c>
      <c r="F2307" s="4" t="s">
        <v>9</v>
      </c>
      <c r="G2307" s="4" t="s">
        <v>2636</v>
      </c>
      <c r="H2307" s="6" t="s">
        <v>11</v>
      </c>
    </row>
    <row r="2308" spans="1:8" x14ac:dyDescent="0.25">
      <c r="A2308" s="4" t="s">
        <v>2637</v>
      </c>
      <c r="B2308" s="4" t="s">
        <v>12</v>
      </c>
      <c r="F2308" s="4" t="s">
        <v>9</v>
      </c>
      <c r="G2308" s="4" t="s">
        <v>2638</v>
      </c>
      <c r="H2308" s="6" t="s">
        <v>11</v>
      </c>
    </row>
    <row r="2309" spans="1:8" x14ac:dyDescent="0.25">
      <c r="A2309" s="4" t="s">
        <v>2639</v>
      </c>
      <c r="B2309" s="4" t="s">
        <v>12</v>
      </c>
      <c r="F2309" s="4" t="s">
        <v>9</v>
      </c>
      <c r="G2309" s="4" t="s">
        <v>2640</v>
      </c>
      <c r="H2309" s="6" t="s">
        <v>11</v>
      </c>
    </row>
    <row r="2310" spans="1:8" x14ac:dyDescent="0.25">
      <c r="A2310" s="4" t="s">
        <v>2641</v>
      </c>
      <c r="B2310" s="4" t="s">
        <v>12</v>
      </c>
      <c r="F2310" s="4" t="s">
        <v>9</v>
      </c>
      <c r="G2310" s="4" t="s">
        <v>2642</v>
      </c>
      <c r="H2310" s="6" t="s">
        <v>11</v>
      </c>
    </row>
    <row r="2311" spans="1:8" x14ac:dyDescent="0.25">
      <c r="A2311" s="4" t="s">
        <v>2643</v>
      </c>
      <c r="B2311" s="4" t="s">
        <v>12</v>
      </c>
      <c r="D2311" s="5">
        <v>23</v>
      </c>
      <c r="F2311" s="4" t="s">
        <v>9</v>
      </c>
      <c r="G2311" s="4" t="s">
        <v>2644</v>
      </c>
      <c r="H2311" s="6" t="s">
        <v>11</v>
      </c>
    </row>
    <row r="2312" spans="1:8" x14ac:dyDescent="0.25">
      <c r="A2312" s="4" t="s">
        <v>2645</v>
      </c>
      <c r="B2312" s="4" t="s">
        <v>12</v>
      </c>
      <c r="D2312" s="5">
        <v>24</v>
      </c>
      <c r="F2312" s="4" t="s">
        <v>9</v>
      </c>
      <c r="G2312" s="4" t="s">
        <v>2646</v>
      </c>
      <c r="H2312" s="6" t="s">
        <v>11</v>
      </c>
    </row>
    <row r="2313" spans="1:8" x14ac:dyDescent="0.25">
      <c r="A2313" s="4" t="s">
        <v>2647</v>
      </c>
      <c r="B2313" s="4" t="s">
        <v>12</v>
      </c>
      <c r="F2313" s="4" t="s">
        <v>9</v>
      </c>
      <c r="G2313" s="4" t="s">
        <v>2648</v>
      </c>
      <c r="H2313" s="6" t="s">
        <v>11</v>
      </c>
    </row>
    <row r="2314" spans="1:8" x14ac:dyDescent="0.25">
      <c r="A2314" s="4" t="s">
        <v>2649</v>
      </c>
      <c r="B2314" s="4" t="s">
        <v>12</v>
      </c>
      <c r="F2314" s="4" t="s">
        <v>9</v>
      </c>
      <c r="G2314" s="4" t="s">
        <v>2650</v>
      </c>
      <c r="H2314" s="6" t="s">
        <v>11</v>
      </c>
    </row>
    <row r="2315" spans="1:8" x14ac:dyDescent="0.25">
      <c r="A2315" s="4" t="s">
        <v>2651</v>
      </c>
      <c r="B2315" s="4" t="s">
        <v>12</v>
      </c>
      <c r="F2315" s="4" t="s">
        <v>9</v>
      </c>
      <c r="G2315" s="4" t="s">
        <v>2652</v>
      </c>
      <c r="H2315" s="6" t="s">
        <v>11</v>
      </c>
    </row>
    <row r="2316" spans="1:8" x14ac:dyDescent="0.25">
      <c r="A2316" s="4" t="s">
        <v>2653</v>
      </c>
      <c r="B2316" s="4" t="s">
        <v>12</v>
      </c>
      <c r="D2316" s="5">
        <v>14</v>
      </c>
      <c r="F2316" s="4" t="s">
        <v>9</v>
      </c>
      <c r="G2316" s="4" t="s">
        <v>2654</v>
      </c>
      <c r="H2316" s="6" t="s">
        <v>11</v>
      </c>
    </row>
    <row r="2317" spans="1:8" x14ac:dyDescent="0.25">
      <c r="A2317" s="4" t="s">
        <v>2657</v>
      </c>
      <c r="B2317" s="4" t="s">
        <v>12</v>
      </c>
      <c r="F2317" s="4" t="s">
        <v>9</v>
      </c>
      <c r="G2317" s="4" t="s">
        <v>2658</v>
      </c>
      <c r="H2317" s="6" t="s">
        <v>11</v>
      </c>
    </row>
    <row r="2318" spans="1:8" x14ac:dyDescent="0.25">
      <c r="A2318" s="4" t="s">
        <v>2659</v>
      </c>
      <c r="B2318" s="4" t="s">
        <v>12</v>
      </c>
      <c r="F2318" s="4" t="s">
        <v>9</v>
      </c>
      <c r="G2318" s="4" t="s">
        <v>2660</v>
      </c>
      <c r="H2318" s="6" t="s">
        <v>11</v>
      </c>
    </row>
    <row r="2319" spans="1:8" x14ac:dyDescent="0.25">
      <c r="A2319" s="4" t="s">
        <v>2661</v>
      </c>
      <c r="B2319" s="4" t="s">
        <v>12</v>
      </c>
      <c r="F2319" s="4" t="s">
        <v>9</v>
      </c>
      <c r="G2319" s="4" t="s">
        <v>2662</v>
      </c>
      <c r="H2319" s="6" t="s">
        <v>11</v>
      </c>
    </row>
    <row r="2320" spans="1:8" x14ac:dyDescent="0.25">
      <c r="A2320" s="4" t="s">
        <v>2663</v>
      </c>
      <c r="B2320" s="4" t="s">
        <v>12</v>
      </c>
      <c r="F2320" s="4" t="s">
        <v>9</v>
      </c>
      <c r="G2320" s="4" t="s">
        <v>2664</v>
      </c>
      <c r="H2320" s="6" t="s">
        <v>11</v>
      </c>
    </row>
    <row r="2321" spans="1:8" x14ac:dyDescent="0.25">
      <c r="A2321" s="4" t="s">
        <v>2665</v>
      </c>
      <c r="B2321" s="4" t="s">
        <v>12</v>
      </c>
      <c r="F2321" s="4" t="s">
        <v>9</v>
      </c>
      <c r="G2321" s="4" t="s">
        <v>2666</v>
      </c>
      <c r="H2321" s="6" t="s">
        <v>11</v>
      </c>
    </row>
    <row r="2322" spans="1:8" x14ac:dyDescent="0.25">
      <c r="A2322" s="4" t="s">
        <v>2667</v>
      </c>
      <c r="B2322" s="4" t="s">
        <v>12</v>
      </c>
      <c r="F2322" s="4" t="s">
        <v>9</v>
      </c>
      <c r="G2322" s="4" t="s">
        <v>2668</v>
      </c>
      <c r="H2322" s="6" t="s">
        <v>11</v>
      </c>
    </row>
    <row r="2323" spans="1:8" x14ac:dyDescent="0.25">
      <c r="A2323" s="4" t="s">
        <v>2669</v>
      </c>
      <c r="B2323" s="4" t="s">
        <v>12</v>
      </c>
      <c r="F2323" s="4" t="s">
        <v>9</v>
      </c>
      <c r="G2323" s="4" t="s">
        <v>2670</v>
      </c>
      <c r="H2323" s="6" t="s">
        <v>11</v>
      </c>
    </row>
    <row r="2324" spans="1:8" x14ac:dyDescent="0.25">
      <c r="A2324" s="4" t="s">
        <v>2671</v>
      </c>
      <c r="B2324" s="4" t="s">
        <v>12</v>
      </c>
      <c r="F2324" s="4" t="s">
        <v>9</v>
      </c>
      <c r="G2324" s="4" t="s">
        <v>2672</v>
      </c>
      <c r="H2324" s="6" t="s">
        <v>11</v>
      </c>
    </row>
    <row r="2325" spans="1:8" x14ac:dyDescent="0.25">
      <c r="A2325" s="4" t="s">
        <v>2673</v>
      </c>
      <c r="B2325" s="4" t="s">
        <v>12</v>
      </c>
      <c r="F2325" s="4" t="s">
        <v>9</v>
      </c>
      <c r="G2325" s="4" t="s">
        <v>2674</v>
      </c>
      <c r="H2325" s="6" t="s">
        <v>11</v>
      </c>
    </row>
    <row r="2326" spans="1:8" x14ac:dyDescent="0.25">
      <c r="A2326" s="4" t="s">
        <v>2675</v>
      </c>
      <c r="B2326" s="4" t="s">
        <v>12</v>
      </c>
      <c r="F2326" s="4" t="s">
        <v>9</v>
      </c>
      <c r="G2326" s="4" t="s">
        <v>2676</v>
      </c>
      <c r="H2326" s="6" t="s">
        <v>11</v>
      </c>
    </row>
    <row r="2327" spans="1:8" x14ac:dyDescent="0.25">
      <c r="A2327" s="4" t="s">
        <v>2677</v>
      </c>
      <c r="B2327" s="4" t="s">
        <v>12</v>
      </c>
      <c r="F2327" s="4" t="s">
        <v>9</v>
      </c>
      <c r="G2327" s="4" t="s">
        <v>2678</v>
      </c>
      <c r="H2327" s="6" t="s">
        <v>11</v>
      </c>
    </row>
    <row r="2328" spans="1:8" x14ac:dyDescent="0.25">
      <c r="A2328" s="4" t="s">
        <v>2679</v>
      </c>
      <c r="B2328" s="4" t="s">
        <v>12</v>
      </c>
      <c r="F2328" s="4" t="s">
        <v>9</v>
      </c>
      <c r="G2328" s="4" t="s">
        <v>2680</v>
      </c>
      <c r="H2328" s="6" t="s">
        <v>11</v>
      </c>
    </row>
    <row r="2329" spans="1:8" x14ac:dyDescent="0.25">
      <c r="A2329" s="4" t="s">
        <v>2687</v>
      </c>
      <c r="B2329" s="4" t="s">
        <v>12</v>
      </c>
      <c r="F2329" s="4" t="s">
        <v>9</v>
      </c>
      <c r="G2329" s="4" t="s">
        <v>2688</v>
      </c>
      <c r="H2329" s="6" t="s">
        <v>11</v>
      </c>
    </row>
    <row r="2330" spans="1:8" x14ac:dyDescent="0.25">
      <c r="A2330" s="4" t="s">
        <v>2689</v>
      </c>
      <c r="B2330" s="4" t="s">
        <v>12</v>
      </c>
      <c r="F2330" s="4" t="s">
        <v>9</v>
      </c>
      <c r="G2330" s="4" t="s">
        <v>2690</v>
      </c>
      <c r="H2330" s="6" t="s">
        <v>11</v>
      </c>
    </row>
    <row r="2331" spans="1:8" x14ac:dyDescent="0.25">
      <c r="A2331" s="4" t="s">
        <v>2691</v>
      </c>
      <c r="B2331" s="4" t="s">
        <v>12</v>
      </c>
      <c r="F2331" s="4" t="s">
        <v>9</v>
      </c>
      <c r="G2331" s="4" t="s">
        <v>2692</v>
      </c>
      <c r="H2331" s="6" t="s">
        <v>11</v>
      </c>
    </row>
    <row r="2332" spans="1:8" x14ac:dyDescent="0.25">
      <c r="A2332" s="4" t="s">
        <v>2693</v>
      </c>
      <c r="B2332" s="4" t="s">
        <v>12</v>
      </c>
      <c r="F2332" s="4" t="s">
        <v>9</v>
      </c>
      <c r="G2332" s="4" t="s">
        <v>2694</v>
      </c>
      <c r="H2332" s="6" t="s">
        <v>11</v>
      </c>
    </row>
    <row r="2333" spans="1:8" x14ac:dyDescent="0.25">
      <c r="A2333" s="4" t="s">
        <v>2695</v>
      </c>
      <c r="B2333" s="4" t="s">
        <v>12</v>
      </c>
      <c r="F2333" s="4" t="s">
        <v>9</v>
      </c>
      <c r="G2333" s="4" t="s">
        <v>2696</v>
      </c>
      <c r="H2333" s="6" t="s">
        <v>11</v>
      </c>
    </row>
    <row r="2334" spans="1:8" x14ac:dyDescent="0.25">
      <c r="A2334" s="4" t="s">
        <v>2697</v>
      </c>
      <c r="B2334" s="4" t="s">
        <v>12</v>
      </c>
      <c r="F2334" s="4" t="s">
        <v>9</v>
      </c>
      <c r="G2334" s="4" t="s">
        <v>2698</v>
      </c>
      <c r="H2334" s="6" t="s">
        <v>11</v>
      </c>
    </row>
    <row r="2335" spans="1:8" x14ac:dyDescent="0.25">
      <c r="A2335" s="4" t="s">
        <v>2699</v>
      </c>
      <c r="B2335" s="4" t="s">
        <v>12</v>
      </c>
      <c r="D2335" s="5">
        <v>16.5</v>
      </c>
      <c r="F2335" s="4" t="s">
        <v>9</v>
      </c>
      <c r="G2335" s="4" t="s">
        <v>2700</v>
      </c>
      <c r="H2335" s="6" t="s">
        <v>11</v>
      </c>
    </row>
    <row r="2336" spans="1:8" x14ac:dyDescent="0.25">
      <c r="A2336" s="4" t="s">
        <v>2701</v>
      </c>
      <c r="B2336" s="4" t="s">
        <v>12</v>
      </c>
      <c r="F2336" s="4" t="s">
        <v>9</v>
      </c>
      <c r="G2336" s="4" t="s">
        <v>2702</v>
      </c>
      <c r="H2336" s="6" t="s">
        <v>11</v>
      </c>
    </row>
    <row r="2337" spans="1:8" x14ac:dyDescent="0.25">
      <c r="A2337" s="4" t="s">
        <v>2703</v>
      </c>
      <c r="B2337" s="4" t="s">
        <v>12</v>
      </c>
      <c r="D2337" s="5">
        <v>16</v>
      </c>
      <c r="F2337" s="4" t="s">
        <v>9</v>
      </c>
      <c r="G2337" s="4" t="s">
        <v>2704</v>
      </c>
      <c r="H2337" s="6" t="s">
        <v>11</v>
      </c>
    </row>
    <row r="2338" spans="1:8" x14ac:dyDescent="0.25">
      <c r="A2338" s="4" t="s">
        <v>2705</v>
      </c>
      <c r="B2338" s="4" t="s">
        <v>12</v>
      </c>
      <c r="D2338" s="5">
        <v>16.5</v>
      </c>
      <c r="F2338" s="4" t="s">
        <v>9</v>
      </c>
      <c r="G2338" s="4" t="s">
        <v>2706</v>
      </c>
      <c r="H2338" s="6" t="s">
        <v>11</v>
      </c>
    </row>
    <row r="2339" spans="1:8" x14ac:dyDescent="0.25">
      <c r="A2339" s="4" t="s">
        <v>2707</v>
      </c>
      <c r="B2339" s="4" t="s">
        <v>12</v>
      </c>
      <c r="F2339" s="4" t="s">
        <v>9</v>
      </c>
      <c r="G2339" s="4" t="s">
        <v>2708</v>
      </c>
      <c r="H2339" s="6" t="s">
        <v>11</v>
      </c>
    </row>
    <row r="2340" spans="1:8" x14ac:dyDescent="0.25">
      <c r="A2340" s="4" t="s">
        <v>2709</v>
      </c>
      <c r="B2340" s="4" t="s">
        <v>12</v>
      </c>
      <c r="F2340" s="4" t="s">
        <v>9</v>
      </c>
      <c r="G2340" s="4" t="s">
        <v>2710</v>
      </c>
      <c r="H2340" s="6" t="s">
        <v>11</v>
      </c>
    </row>
    <row r="2341" spans="1:8" x14ac:dyDescent="0.25">
      <c r="A2341" s="4" t="s">
        <v>2711</v>
      </c>
      <c r="B2341" s="4" t="s">
        <v>12</v>
      </c>
      <c r="F2341" s="4" t="s">
        <v>9</v>
      </c>
      <c r="G2341" s="4" t="s">
        <v>2712</v>
      </c>
      <c r="H2341" s="6" t="s">
        <v>11</v>
      </c>
    </row>
    <row r="2342" spans="1:8" x14ac:dyDescent="0.25">
      <c r="A2342" s="4" t="s">
        <v>2713</v>
      </c>
      <c r="B2342" s="4" t="s">
        <v>12</v>
      </c>
      <c r="F2342" s="4" t="s">
        <v>9</v>
      </c>
      <c r="G2342" s="4" t="s">
        <v>2714</v>
      </c>
      <c r="H2342" s="6" t="s">
        <v>11</v>
      </c>
    </row>
    <row r="2343" spans="1:8" x14ac:dyDescent="0.25">
      <c r="A2343" s="4" t="s">
        <v>2715</v>
      </c>
      <c r="B2343" s="4" t="s">
        <v>12</v>
      </c>
      <c r="F2343" s="4" t="s">
        <v>9</v>
      </c>
      <c r="G2343" s="4" t="s">
        <v>2716</v>
      </c>
      <c r="H2343" s="6" t="s">
        <v>11</v>
      </c>
    </row>
    <row r="2344" spans="1:8" x14ac:dyDescent="0.25">
      <c r="A2344" s="4" t="s">
        <v>2717</v>
      </c>
      <c r="B2344" s="4" t="s">
        <v>12</v>
      </c>
      <c r="D2344" s="5">
        <v>16.149999999999999</v>
      </c>
      <c r="F2344" s="4" t="s">
        <v>9</v>
      </c>
      <c r="G2344" s="4" t="s">
        <v>2718</v>
      </c>
      <c r="H2344" s="6" t="s">
        <v>11</v>
      </c>
    </row>
    <row r="2345" spans="1:8" x14ac:dyDescent="0.25">
      <c r="A2345" s="4" t="s">
        <v>2719</v>
      </c>
      <c r="B2345" s="4" t="s">
        <v>12</v>
      </c>
      <c r="F2345" s="4" t="s">
        <v>9</v>
      </c>
      <c r="G2345" s="4" t="s">
        <v>2720</v>
      </c>
      <c r="H2345" s="6" t="s">
        <v>11</v>
      </c>
    </row>
    <row r="2346" spans="1:8" x14ac:dyDescent="0.25">
      <c r="A2346" s="4" t="s">
        <v>2721</v>
      </c>
      <c r="B2346" s="4" t="s">
        <v>12</v>
      </c>
      <c r="F2346" s="4" t="s">
        <v>9</v>
      </c>
      <c r="G2346" s="4" t="s">
        <v>2722</v>
      </c>
      <c r="H2346" s="6" t="s">
        <v>11</v>
      </c>
    </row>
    <row r="2347" spans="1:8" x14ac:dyDescent="0.25">
      <c r="A2347" s="4" t="s">
        <v>2723</v>
      </c>
      <c r="B2347" s="4" t="s">
        <v>12</v>
      </c>
      <c r="F2347" s="4" t="s">
        <v>9</v>
      </c>
      <c r="G2347" s="4" t="s">
        <v>2724</v>
      </c>
      <c r="H2347" s="6" t="s">
        <v>11</v>
      </c>
    </row>
    <row r="2348" spans="1:8" x14ac:dyDescent="0.25">
      <c r="A2348" s="4" t="s">
        <v>2727</v>
      </c>
      <c r="B2348" s="4" t="s">
        <v>12</v>
      </c>
      <c r="F2348" s="4" t="s">
        <v>9</v>
      </c>
      <c r="G2348" s="4" t="s">
        <v>2728</v>
      </c>
      <c r="H2348" s="6" t="s">
        <v>11</v>
      </c>
    </row>
    <row r="2349" spans="1:8" x14ac:dyDescent="0.25">
      <c r="A2349" s="4" t="s">
        <v>2937</v>
      </c>
      <c r="B2349" s="4" t="s">
        <v>12</v>
      </c>
      <c r="C2349" s="5">
        <v>12200</v>
      </c>
      <c r="D2349" s="5">
        <v>6100</v>
      </c>
      <c r="F2349" s="4" t="s">
        <v>9</v>
      </c>
      <c r="G2349" s="4" t="s">
        <v>2938</v>
      </c>
      <c r="H2349" s="6" t="s">
        <v>11</v>
      </c>
    </row>
    <row r="2350" spans="1:8" x14ac:dyDescent="0.25">
      <c r="A2350" s="4" t="s">
        <v>3149</v>
      </c>
      <c r="B2350" s="4" t="s">
        <v>12</v>
      </c>
      <c r="C2350" s="5">
        <v>25</v>
      </c>
      <c r="D2350" s="5">
        <v>4.5</v>
      </c>
      <c r="F2350" s="4" t="s">
        <v>9</v>
      </c>
      <c r="G2350" s="4" t="s">
        <v>3150</v>
      </c>
      <c r="H2350" s="6" t="s">
        <v>11</v>
      </c>
    </row>
    <row r="2351" spans="1:8" x14ac:dyDescent="0.25">
      <c r="A2351" s="4" t="str">
        <f>"HAZE PALE ALE  - CHOPE ROLL THE DICE  300ML "</f>
        <v xml:space="preserve">HAZE PALE ALE  - CHOPE ROLL THE DICE  300ML </v>
      </c>
      <c r="B2351" s="4" t="s">
        <v>12</v>
      </c>
      <c r="C2351" s="5">
        <v>20</v>
      </c>
      <c r="D2351" s="5">
        <v>5.67</v>
      </c>
      <c r="F2351" s="4" t="s">
        <v>9</v>
      </c>
      <c r="G2351" s="4" t="s">
        <v>3192</v>
      </c>
      <c r="H2351" s="6" t="s">
        <v>11</v>
      </c>
    </row>
    <row r="2352" spans="1:8" x14ac:dyDescent="0.25">
      <c r="A2352" s="4" t="str">
        <f>"HAZE PALE ALE  - CHOPE ROLL THE DICE  400ML "</f>
        <v xml:space="preserve">HAZE PALE ALE  - CHOPE ROLL THE DICE  400ML </v>
      </c>
      <c r="B2352" s="4" t="s">
        <v>12</v>
      </c>
      <c r="C2352" s="5">
        <v>25</v>
      </c>
      <c r="D2352" s="5">
        <v>7.56</v>
      </c>
      <c r="F2352" s="4" t="s">
        <v>9</v>
      </c>
      <c r="G2352" s="4" t="s">
        <v>3193</v>
      </c>
      <c r="H2352" s="6" t="s">
        <v>11</v>
      </c>
    </row>
    <row r="2353" spans="1:8" x14ac:dyDescent="0.25">
      <c r="A2353" s="4" t="s">
        <v>3252</v>
      </c>
      <c r="B2353" s="4" t="s">
        <v>12</v>
      </c>
      <c r="C2353" s="5">
        <v>51.9</v>
      </c>
      <c r="F2353" s="4" t="s">
        <v>9</v>
      </c>
      <c r="G2353" s="4" t="s">
        <v>3253</v>
      </c>
      <c r="H2353" s="6" t="s">
        <v>11</v>
      </c>
    </row>
    <row r="2354" spans="1:8" x14ac:dyDescent="0.25">
      <c r="A2354" s="4" t="s">
        <v>3414</v>
      </c>
      <c r="B2354" s="4" t="s">
        <v>12</v>
      </c>
      <c r="C2354" s="5">
        <v>20</v>
      </c>
      <c r="D2354" s="5">
        <v>6.27</v>
      </c>
      <c r="F2354" s="4" t="s">
        <v>9</v>
      </c>
      <c r="G2354" s="4" t="s">
        <v>3415</v>
      </c>
      <c r="H2354" s="6" t="s">
        <v>11</v>
      </c>
    </row>
    <row r="2355" spans="1:8" x14ac:dyDescent="0.25">
      <c r="A2355" s="4" t="str">
        <f>"MACACO VELHO SMASH IPA - 400ML "</f>
        <v xml:space="preserve">MACACO VELHO SMASH IPA - 400ML </v>
      </c>
      <c r="B2355" s="4" t="s">
        <v>12</v>
      </c>
      <c r="C2355" s="5">
        <v>25</v>
      </c>
      <c r="D2355" s="5">
        <v>8.36</v>
      </c>
      <c r="F2355" s="4" t="s">
        <v>9</v>
      </c>
      <c r="G2355" s="4" t="s">
        <v>3416</v>
      </c>
      <c r="H2355" s="6" t="s">
        <v>11</v>
      </c>
    </row>
    <row r="2356" spans="1:8" x14ac:dyDescent="0.25">
      <c r="A2356" s="4" t="s">
        <v>3474</v>
      </c>
      <c r="B2356" s="4" t="s">
        <v>12</v>
      </c>
      <c r="C2356" s="5">
        <v>20</v>
      </c>
      <c r="D2356" s="5">
        <v>6.27</v>
      </c>
      <c r="F2356" s="4" t="s">
        <v>9</v>
      </c>
      <c r="G2356" s="4" t="s">
        <v>3475</v>
      </c>
      <c r="H2356" s="6" t="s">
        <v>11</v>
      </c>
    </row>
    <row r="2357" spans="1:8" x14ac:dyDescent="0.25">
      <c r="A2357" s="4" t="s">
        <v>3476</v>
      </c>
      <c r="B2357" s="4" t="s">
        <v>12</v>
      </c>
      <c r="C2357" s="5">
        <v>25</v>
      </c>
      <c r="D2357" s="5">
        <v>8.36</v>
      </c>
      <c r="F2357" s="4" t="s">
        <v>9</v>
      </c>
      <c r="G2357" s="4" t="s">
        <v>3477</v>
      </c>
      <c r="H2357" s="6" t="s">
        <v>11</v>
      </c>
    </row>
    <row r="2358" spans="1:8" x14ac:dyDescent="0.25">
      <c r="A2358" s="4" t="s">
        <v>4447</v>
      </c>
      <c r="B2358" s="4" t="s">
        <v>12</v>
      </c>
      <c r="C2358" s="5">
        <v>20</v>
      </c>
      <c r="D2358" s="5">
        <v>4.79</v>
      </c>
      <c r="F2358" s="4" t="s">
        <v>9</v>
      </c>
      <c r="G2358" s="4" t="s">
        <v>4448</v>
      </c>
      <c r="H2358" s="6" t="s">
        <v>11</v>
      </c>
    </row>
    <row r="2359" spans="1:8" x14ac:dyDescent="0.25">
      <c r="A2359" s="4" t="s">
        <v>4449</v>
      </c>
      <c r="B2359" s="4" t="s">
        <v>12</v>
      </c>
      <c r="C2359" s="5">
        <v>25</v>
      </c>
      <c r="D2359" s="5">
        <v>6.39</v>
      </c>
      <c r="F2359" s="4" t="s">
        <v>9</v>
      </c>
      <c r="G2359" s="4" t="s">
        <v>4450</v>
      </c>
      <c r="H2359" s="6" t="s">
        <v>11</v>
      </c>
    </row>
    <row r="2360" spans="1:8" x14ac:dyDescent="0.25">
      <c r="A2360" s="4" t="s">
        <v>4454</v>
      </c>
      <c r="B2360" s="4" t="s">
        <v>12</v>
      </c>
      <c r="C2360" s="5">
        <v>20</v>
      </c>
      <c r="F2360" s="4" t="s">
        <v>9</v>
      </c>
      <c r="G2360" s="4" t="s">
        <v>4455</v>
      </c>
      <c r="H2360" s="6" t="s">
        <v>11</v>
      </c>
    </row>
    <row r="2361" spans="1:8" x14ac:dyDescent="0.25">
      <c r="A2361" s="4" t="s">
        <v>4640</v>
      </c>
      <c r="B2361" s="4" t="s">
        <v>12</v>
      </c>
      <c r="C2361" s="5">
        <v>17</v>
      </c>
      <c r="D2361" s="5">
        <v>5.37</v>
      </c>
      <c r="F2361" s="4" t="s">
        <v>9</v>
      </c>
      <c r="G2361" s="4" t="s">
        <v>4641</v>
      </c>
      <c r="H2361" s="6" t="s">
        <v>11</v>
      </c>
    </row>
    <row r="2362" spans="1:8" x14ac:dyDescent="0.25">
      <c r="A2362" s="4" t="s">
        <v>4642</v>
      </c>
      <c r="B2362" s="4" t="s">
        <v>12</v>
      </c>
      <c r="C2362" s="5">
        <v>25</v>
      </c>
      <c r="D2362" s="5">
        <v>6.87</v>
      </c>
      <c r="F2362" s="4" t="s">
        <v>9</v>
      </c>
      <c r="G2362" s="4" t="s">
        <v>4643</v>
      </c>
      <c r="H2362" s="6" t="s">
        <v>11</v>
      </c>
    </row>
    <row r="2363" spans="1:8" x14ac:dyDescent="0.25">
      <c r="A2363" s="4" t="s">
        <v>4644</v>
      </c>
      <c r="B2363" s="4" t="s">
        <v>12</v>
      </c>
      <c r="C2363" s="5">
        <v>25</v>
      </c>
      <c r="D2363" s="5">
        <v>9.16</v>
      </c>
      <c r="F2363" s="4" t="s">
        <v>9</v>
      </c>
      <c r="G2363" s="4" t="s">
        <v>4645</v>
      </c>
      <c r="H2363" s="6" t="s">
        <v>11</v>
      </c>
    </row>
    <row r="2364" spans="1:8" x14ac:dyDescent="0.25">
      <c r="A2364" s="4" t="s">
        <v>4695</v>
      </c>
      <c r="B2364" s="4" t="s">
        <v>12</v>
      </c>
      <c r="C2364" s="5">
        <v>20</v>
      </c>
      <c r="D2364" s="5">
        <v>6.3</v>
      </c>
      <c r="F2364" s="4" t="s">
        <v>9</v>
      </c>
      <c r="G2364" s="4" t="s">
        <v>4696</v>
      </c>
      <c r="H2364" s="6" t="s">
        <v>11</v>
      </c>
    </row>
    <row r="2365" spans="1:8" x14ac:dyDescent="0.25">
      <c r="A2365" s="4" t="s">
        <v>4697</v>
      </c>
      <c r="B2365" s="4" t="s">
        <v>12</v>
      </c>
      <c r="C2365" s="5">
        <v>25</v>
      </c>
      <c r="D2365" s="5">
        <v>8.4</v>
      </c>
      <c r="F2365" s="4" t="s">
        <v>9</v>
      </c>
      <c r="G2365" s="4" t="s">
        <v>4698</v>
      </c>
      <c r="H2365" s="6" t="s">
        <v>11</v>
      </c>
    </row>
    <row r="2366" spans="1:8" x14ac:dyDescent="0.25">
      <c r="A2366" s="4" t="s">
        <v>4857</v>
      </c>
      <c r="B2366" s="4" t="s">
        <v>12</v>
      </c>
      <c r="C2366" s="5">
        <v>20</v>
      </c>
      <c r="D2366" s="5">
        <v>5.82</v>
      </c>
      <c r="F2366" s="4" t="s">
        <v>9</v>
      </c>
      <c r="G2366" s="4" t="s">
        <v>4858</v>
      </c>
      <c r="H2366" s="6" t="s">
        <v>11</v>
      </c>
    </row>
    <row r="2367" spans="1:8" x14ac:dyDescent="0.25">
      <c r="A2367" s="4" t="str">
        <f>"XP 089 - APA BALA CHOPE   ESTOQUE  TAP "</f>
        <v xml:space="preserve">XP 089 - APA BALA CHOPE   ESTOQUE  TAP </v>
      </c>
      <c r="B2367" s="4" t="s">
        <v>12</v>
      </c>
      <c r="D2367" s="5">
        <v>20.420000000000002</v>
      </c>
      <c r="F2367" s="4" t="s">
        <v>9</v>
      </c>
      <c r="G2367" s="4" t="s">
        <v>4928</v>
      </c>
      <c r="H2367" s="6" t="s">
        <v>11</v>
      </c>
    </row>
    <row r="2368" spans="1:8" x14ac:dyDescent="0.25">
      <c r="A2368" s="4" t="str">
        <f>"XP 091-CHOPE ORANGE IPA- ESTOQUE  TAP "</f>
        <v xml:space="preserve">XP 091-CHOPE ORANGE IPA- ESTOQUE  TAP </v>
      </c>
      <c r="B2368" s="4" t="s">
        <v>12</v>
      </c>
      <c r="D2368" s="5">
        <v>15.13</v>
      </c>
      <c r="F2368" s="4" t="s">
        <v>9</v>
      </c>
      <c r="G2368" s="4" t="s">
        <v>4933</v>
      </c>
      <c r="H2368" s="6" t="s">
        <v>11</v>
      </c>
    </row>
    <row r="2369" spans="1:8" x14ac:dyDescent="0.25">
      <c r="A2369" s="4" t="str">
        <f>"XP096 - SESSION IPA 300ML -  SEM ÁLCOOL "</f>
        <v xml:space="preserve">XP096 - SESSION IPA 300ML -  SEM ÁLCOOL </v>
      </c>
      <c r="B2369" s="4" t="s">
        <v>12</v>
      </c>
      <c r="C2369" s="5">
        <v>20</v>
      </c>
      <c r="D2369" s="5">
        <v>4.6500000000000004</v>
      </c>
      <c r="F2369" s="4" t="s">
        <v>9</v>
      </c>
      <c r="G2369" s="4" t="s">
        <v>4938</v>
      </c>
      <c r="H2369" s="6" t="s">
        <v>11</v>
      </c>
    </row>
    <row r="2370" spans="1:8" x14ac:dyDescent="0.25">
      <c r="A2370" s="4" t="str">
        <f>"XP096 - SESSION IPA 400ML -  SEM ÁLCOOL "</f>
        <v xml:space="preserve">XP096 - SESSION IPA 400ML -  SEM ÁLCOOL </v>
      </c>
      <c r="B2370" s="4" t="s">
        <v>12</v>
      </c>
      <c r="C2370" s="5">
        <v>25</v>
      </c>
      <c r="D2370" s="5">
        <v>6.2</v>
      </c>
      <c r="F2370" s="4" t="s">
        <v>9</v>
      </c>
      <c r="G2370" s="4" t="s">
        <v>4939</v>
      </c>
      <c r="H2370" s="6" t="s">
        <v>11</v>
      </c>
    </row>
    <row r="2371" spans="1:8" x14ac:dyDescent="0.25">
      <c r="A2371" s="4" t="s">
        <v>342</v>
      </c>
      <c r="B2371" s="4" t="s">
        <v>343</v>
      </c>
      <c r="C2371" s="5">
        <v>15</v>
      </c>
      <c r="F2371" s="4" t="s">
        <v>9</v>
      </c>
      <c r="G2371" s="4" t="s">
        <v>344</v>
      </c>
      <c r="H2371" s="6" t="s">
        <v>11</v>
      </c>
    </row>
    <row r="2372" spans="1:8" x14ac:dyDescent="0.25">
      <c r="A2372" s="4" t="str">
        <f>"BOLO DE MILHO  - FATIA "</f>
        <v xml:space="preserve">BOLO DE MILHO  - FATIA </v>
      </c>
      <c r="B2372" s="4" t="s">
        <v>343</v>
      </c>
      <c r="C2372" s="5">
        <v>15</v>
      </c>
      <c r="F2372" s="4" t="s">
        <v>9</v>
      </c>
      <c r="G2372" s="4" t="s">
        <v>347</v>
      </c>
      <c r="H2372" s="6" t="s">
        <v>11</v>
      </c>
    </row>
    <row r="2373" spans="1:8" x14ac:dyDescent="0.25">
      <c r="A2373" s="4" t="s">
        <v>348</v>
      </c>
      <c r="B2373" s="4" t="s">
        <v>343</v>
      </c>
      <c r="C2373" s="5">
        <v>15</v>
      </c>
      <c r="F2373" s="4" t="s">
        <v>9</v>
      </c>
      <c r="G2373" s="4" t="s">
        <v>349</v>
      </c>
      <c r="H2373" s="6" t="s">
        <v>11</v>
      </c>
    </row>
    <row r="2374" spans="1:8" x14ac:dyDescent="0.25">
      <c r="A2374" s="4" t="s">
        <v>350</v>
      </c>
      <c r="B2374" s="4" t="s">
        <v>343</v>
      </c>
      <c r="C2374" s="5">
        <v>15</v>
      </c>
      <c r="F2374" s="4" t="s">
        <v>9</v>
      </c>
      <c r="G2374" s="4" t="s">
        <v>351</v>
      </c>
      <c r="H2374" s="6" t="s">
        <v>11</v>
      </c>
    </row>
    <row r="2375" spans="1:8" x14ac:dyDescent="0.25">
      <c r="A2375" s="4" t="s">
        <v>451</v>
      </c>
      <c r="B2375" s="4" t="s">
        <v>343</v>
      </c>
      <c r="C2375" s="5">
        <v>12</v>
      </c>
      <c r="F2375" s="4" t="s">
        <v>9</v>
      </c>
      <c r="G2375" s="4" t="s">
        <v>452</v>
      </c>
      <c r="H2375" s="6" t="s">
        <v>11</v>
      </c>
    </row>
    <row r="2376" spans="1:8" x14ac:dyDescent="0.25">
      <c r="A2376" s="4" t="s">
        <v>453</v>
      </c>
      <c r="B2376" s="4" t="s">
        <v>343</v>
      </c>
      <c r="C2376" s="5">
        <v>17</v>
      </c>
      <c r="F2376" s="4" t="s">
        <v>9</v>
      </c>
      <c r="G2376" s="4" t="s">
        <v>454</v>
      </c>
      <c r="H2376" s="6" t="s">
        <v>11</v>
      </c>
    </row>
    <row r="2377" spans="1:8" x14ac:dyDescent="0.25">
      <c r="A2377" s="4" t="s">
        <v>457</v>
      </c>
      <c r="B2377" s="4" t="s">
        <v>343</v>
      </c>
      <c r="C2377" s="5">
        <v>59</v>
      </c>
      <c r="F2377" s="4" t="s">
        <v>9</v>
      </c>
      <c r="G2377" s="4" t="s">
        <v>458</v>
      </c>
      <c r="H2377" s="6" t="s">
        <v>11</v>
      </c>
    </row>
    <row r="2378" spans="1:8" x14ac:dyDescent="0.25">
      <c r="A2378" s="4" t="s">
        <v>459</v>
      </c>
      <c r="B2378" s="4" t="s">
        <v>343</v>
      </c>
      <c r="C2378" s="5">
        <v>54</v>
      </c>
      <c r="F2378" s="4" t="s">
        <v>9</v>
      </c>
      <c r="G2378" s="4" t="s">
        <v>460</v>
      </c>
      <c r="H2378" s="6" t="s">
        <v>11</v>
      </c>
    </row>
    <row r="2379" spans="1:8" x14ac:dyDescent="0.25">
      <c r="A2379" s="4" t="s">
        <v>461</v>
      </c>
      <c r="B2379" s="4" t="s">
        <v>343</v>
      </c>
      <c r="C2379" s="5">
        <v>7</v>
      </c>
      <c r="F2379" s="4" t="s">
        <v>9</v>
      </c>
      <c r="G2379" s="4" t="s">
        <v>462</v>
      </c>
      <c r="H2379" s="6" t="s">
        <v>11</v>
      </c>
    </row>
    <row r="2380" spans="1:8" x14ac:dyDescent="0.25">
      <c r="A2380" s="4" t="s">
        <v>666</v>
      </c>
      <c r="B2380" s="4" t="s">
        <v>343</v>
      </c>
      <c r="C2380" s="5">
        <v>10</v>
      </c>
      <c r="F2380" s="4" t="s">
        <v>9</v>
      </c>
      <c r="G2380" s="4" t="s">
        <v>667</v>
      </c>
      <c r="H2380" s="6" t="s">
        <v>11</v>
      </c>
    </row>
    <row r="2381" spans="1:8" x14ac:dyDescent="0.25">
      <c r="A2381" s="4" t="s">
        <v>668</v>
      </c>
      <c r="B2381" s="4" t="s">
        <v>343</v>
      </c>
      <c r="C2381" s="5">
        <v>22</v>
      </c>
      <c r="F2381" s="4" t="s">
        <v>9</v>
      </c>
      <c r="G2381" s="4" t="s">
        <v>669</v>
      </c>
      <c r="H2381" s="6" t="s">
        <v>11</v>
      </c>
    </row>
    <row r="2382" spans="1:8" x14ac:dyDescent="0.25">
      <c r="A2382" s="4" t="s">
        <v>670</v>
      </c>
      <c r="B2382" s="4" t="s">
        <v>343</v>
      </c>
      <c r="C2382" s="5">
        <v>22</v>
      </c>
      <c r="F2382" s="4" t="s">
        <v>9</v>
      </c>
      <c r="G2382" s="4" t="s">
        <v>671</v>
      </c>
      <c r="H2382" s="6" t="s">
        <v>11</v>
      </c>
    </row>
    <row r="2383" spans="1:8" x14ac:dyDescent="0.25">
      <c r="A2383" s="4" t="s">
        <v>672</v>
      </c>
      <c r="B2383" s="4" t="s">
        <v>343</v>
      </c>
      <c r="C2383" s="5">
        <v>22</v>
      </c>
      <c r="F2383" s="4" t="s">
        <v>9</v>
      </c>
      <c r="G2383" s="4" t="s">
        <v>673</v>
      </c>
      <c r="H2383" s="6" t="s">
        <v>11</v>
      </c>
    </row>
    <row r="2384" spans="1:8" x14ac:dyDescent="0.25">
      <c r="A2384" s="4" t="s">
        <v>871</v>
      </c>
      <c r="B2384" s="4" t="s">
        <v>343</v>
      </c>
      <c r="C2384" s="5">
        <v>16</v>
      </c>
      <c r="F2384" s="4" t="s">
        <v>9</v>
      </c>
      <c r="G2384" s="4" t="s">
        <v>872</v>
      </c>
      <c r="H2384" s="6" t="s">
        <v>11</v>
      </c>
    </row>
    <row r="2385" spans="1:8" x14ac:dyDescent="0.25">
      <c r="A2385" s="4" t="s">
        <v>874</v>
      </c>
      <c r="B2385" s="4" t="s">
        <v>343</v>
      </c>
      <c r="C2385" s="5">
        <v>16</v>
      </c>
      <c r="F2385" s="4" t="s">
        <v>9</v>
      </c>
      <c r="G2385" s="4" t="s">
        <v>875</v>
      </c>
      <c r="H2385" s="6" t="s">
        <v>11</v>
      </c>
    </row>
    <row r="2386" spans="1:8" x14ac:dyDescent="0.25">
      <c r="A2386" s="4" t="s">
        <v>2300</v>
      </c>
      <c r="B2386" s="4" t="s">
        <v>343</v>
      </c>
      <c r="C2386" s="5">
        <v>15</v>
      </c>
      <c r="F2386" s="4" t="s">
        <v>9</v>
      </c>
      <c r="G2386" s="4" t="s">
        <v>2301</v>
      </c>
      <c r="H2386" s="6" t="s">
        <v>11</v>
      </c>
    </row>
    <row r="2387" spans="1:8" x14ac:dyDescent="0.25">
      <c r="A2387" s="4" t="str">
        <f>"COLDBREW TANGERINA "</f>
        <v xml:space="preserve">COLDBREW TANGERINA </v>
      </c>
      <c r="B2387" s="4" t="s">
        <v>343</v>
      </c>
      <c r="C2387" s="5">
        <v>14</v>
      </c>
      <c r="F2387" s="4" t="s">
        <v>9</v>
      </c>
      <c r="G2387" s="4" t="s">
        <v>2302</v>
      </c>
      <c r="H2387" s="6" t="s">
        <v>11</v>
      </c>
    </row>
    <row r="2388" spans="1:8" x14ac:dyDescent="0.25">
      <c r="A2388" s="4" t="str">
        <f>"CUPCAKE DE CENOURA "</f>
        <v xml:space="preserve">CUPCAKE DE CENOURA </v>
      </c>
      <c r="B2388" s="4" t="s">
        <v>343</v>
      </c>
      <c r="C2388" s="5">
        <v>15</v>
      </c>
      <c r="F2388" s="4" t="s">
        <v>9</v>
      </c>
      <c r="G2388" s="4" t="s">
        <v>2437</v>
      </c>
      <c r="H2388" s="6" t="s">
        <v>11</v>
      </c>
    </row>
    <row r="2389" spans="1:8" x14ac:dyDescent="0.25">
      <c r="A2389" s="4" t="str">
        <f>"CUPCAKE DE TANGERINA  "</f>
        <v xml:space="preserve">CUPCAKE DE TANGERINA  </v>
      </c>
      <c r="B2389" s="4" t="s">
        <v>343</v>
      </c>
      <c r="C2389" s="5">
        <v>15</v>
      </c>
      <c r="F2389" s="4" t="s">
        <v>9</v>
      </c>
      <c r="G2389" s="4" t="s">
        <v>2438</v>
      </c>
      <c r="H2389" s="6" t="s">
        <v>11</v>
      </c>
    </row>
    <row r="2390" spans="1:8" x14ac:dyDescent="0.25">
      <c r="A2390" s="4" t="s">
        <v>2807</v>
      </c>
      <c r="B2390" s="4" t="s">
        <v>343</v>
      </c>
      <c r="C2390" s="5">
        <v>10</v>
      </c>
      <c r="F2390" s="4" t="s">
        <v>9</v>
      </c>
      <c r="G2390" s="4" t="s">
        <v>2808</v>
      </c>
      <c r="H2390" s="6" t="s">
        <v>11</v>
      </c>
    </row>
    <row r="2391" spans="1:8" x14ac:dyDescent="0.25">
      <c r="A2391" s="4" t="str">
        <f>"ESPRESSO "</f>
        <v xml:space="preserve">ESPRESSO </v>
      </c>
      <c r="B2391" s="4" t="s">
        <v>343</v>
      </c>
      <c r="C2391" s="5">
        <v>7</v>
      </c>
      <c r="F2391" s="4" t="s">
        <v>9</v>
      </c>
      <c r="G2391" s="4" t="s">
        <v>2904</v>
      </c>
      <c r="H2391" s="6" t="s">
        <v>11</v>
      </c>
    </row>
    <row r="2392" spans="1:8" x14ac:dyDescent="0.25">
      <c r="A2392" s="4" t="str">
        <f>"ESPRESSO CARIOCA "</f>
        <v xml:space="preserve">ESPRESSO CARIOCA </v>
      </c>
      <c r="B2392" s="4" t="s">
        <v>343</v>
      </c>
      <c r="C2392" s="5">
        <v>7</v>
      </c>
      <c r="F2392" s="4" t="s">
        <v>9</v>
      </c>
      <c r="G2392" s="4" t="s">
        <v>2905</v>
      </c>
      <c r="H2392" s="6" t="s">
        <v>11</v>
      </c>
    </row>
    <row r="2393" spans="1:8" x14ac:dyDescent="0.25">
      <c r="A2393" s="4" t="s">
        <v>2906</v>
      </c>
      <c r="B2393" s="4" t="s">
        <v>343</v>
      </c>
      <c r="C2393" s="5">
        <v>8</v>
      </c>
      <c r="F2393" s="4" t="s">
        <v>9</v>
      </c>
      <c r="G2393" s="4" t="s">
        <v>2907</v>
      </c>
      <c r="H2393" s="6" t="s">
        <v>11</v>
      </c>
    </row>
    <row r="2394" spans="1:8" x14ac:dyDescent="0.25">
      <c r="A2394" s="4" t="s">
        <v>2908</v>
      </c>
      <c r="B2394" s="4" t="s">
        <v>343</v>
      </c>
      <c r="C2394" s="5">
        <v>9</v>
      </c>
      <c r="F2394" s="4" t="s">
        <v>9</v>
      </c>
      <c r="G2394" s="4" t="s">
        <v>2909</v>
      </c>
      <c r="H2394" s="6" t="s">
        <v>11</v>
      </c>
    </row>
    <row r="2395" spans="1:8" x14ac:dyDescent="0.25">
      <c r="A2395" s="4" t="s">
        <v>2912</v>
      </c>
      <c r="B2395" s="4" t="s">
        <v>343</v>
      </c>
      <c r="C2395" s="5">
        <v>14</v>
      </c>
      <c r="F2395" s="4" t="s">
        <v>9</v>
      </c>
      <c r="G2395" s="4" t="s">
        <v>2913</v>
      </c>
      <c r="H2395" s="6" t="s">
        <v>11</v>
      </c>
    </row>
    <row r="2396" spans="1:8" x14ac:dyDescent="0.25">
      <c r="A2396" s="4" t="s">
        <v>3091</v>
      </c>
      <c r="B2396" s="4" t="s">
        <v>343</v>
      </c>
      <c r="C2396" s="5">
        <v>16</v>
      </c>
      <c r="F2396" s="4" t="s">
        <v>9</v>
      </c>
      <c r="G2396" s="4" t="s">
        <v>3092</v>
      </c>
      <c r="H2396" s="6" t="s">
        <v>11</v>
      </c>
    </row>
    <row r="2397" spans="1:8" x14ac:dyDescent="0.25">
      <c r="A2397" s="4" t="s">
        <v>3200</v>
      </c>
      <c r="B2397" s="4" t="s">
        <v>343</v>
      </c>
      <c r="C2397" s="5">
        <v>15</v>
      </c>
      <c r="F2397" s="4" t="s">
        <v>9</v>
      </c>
      <c r="G2397" s="4" t="s">
        <v>3201</v>
      </c>
      <c r="H2397" s="6" t="s">
        <v>11</v>
      </c>
    </row>
    <row r="2398" spans="1:8" x14ac:dyDescent="0.25">
      <c r="A2398" s="4" t="str">
        <f>"LATTE "</f>
        <v xml:space="preserve">LATTE </v>
      </c>
      <c r="B2398" s="4" t="s">
        <v>343</v>
      </c>
      <c r="C2398" s="5">
        <v>14</v>
      </c>
      <c r="F2398" s="4" t="s">
        <v>9</v>
      </c>
      <c r="G2398" s="4" t="s">
        <v>3278</v>
      </c>
      <c r="H2398" s="6" t="s">
        <v>11</v>
      </c>
    </row>
    <row r="2399" spans="1:8" x14ac:dyDescent="0.25">
      <c r="A2399" s="4" t="s">
        <v>3425</v>
      </c>
      <c r="B2399" s="4" t="s">
        <v>343</v>
      </c>
      <c r="C2399" s="5">
        <v>7</v>
      </c>
      <c r="F2399" s="4" t="s">
        <v>9</v>
      </c>
      <c r="G2399" s="4" t="s">
        <v>3426</v>
      </c>
      <c r="H2399" s="6" t="s">
        <v>11</v>
      </c>
    </row>
    <row r="2400" spans="1:8" x14ac:dyDescent="0.25">
      <c r="A2400" s="4" t="s">
        <v>3481</v>
      </c>
      <c r="B2400" s="4" t="s">
        <v>343</v>
      </c>
      <c r="C2400" s="5">
        <v>16</v>
      </c>
      <c r="F2400" s="4" t="s">
        <v>9</v>
      </c>
      <c r="G2400" s="4" t="s">
        <v>3482</v>
      </c>
      <c r="H2400" s="6" t="s">
        <v>11</v>
      </c>
    </row>
    <row r="2401" spans="1:8" x14ac:dyDescent="0.25">
      <c r="A2401" s="4" t="str">
        <f>"MOCHA GELADO "</f>
        <v xml:space="preserve">MOCHA GELADO </v>
      </c>
      <c r="B2401" s="4" t="s">
        <v>343</v>
      </c>
      <c r="C2401" s="5">
        <v>15</v>
      </c>
      <c r="F2401" s="4" t="s">
        <v>9</v>
      </c>
      <c r="G2401" s="4" t="s">
        <v>3510</v>
      </c>
      <c r="H2401" s="6" t="s">
        <v>11</v>
      </c>
    </row>
    <row r="2402" spans="1:8" x14ac:dyDescent="0.25">
      <c r="A2402" s="4" t="str">
        <f>"MOCHA QUENTE "</f>
        <v xml:space="preserve">MOCHA QUENTE </v>
      </c>
      <c r="B2402" s="4" t="s">
        <v>343</v>
      </c>
      <c r="C2402" s="5">
        <v>15</v>
      </c>
      <c r="F2402" s="4" t="s">
        <v>9</v>
      </c>
      <c r="G2402" s="4" t="s">
        <v>3511</v>
      </c>
      <c r="H2402" s="6" t="s">
        <v>11</v>
      </c>
    </row>
    <row r="2403" spans="1:8" x14ac:dyDescent="0.25">
      <c r="A2403" s="4" t="str">
        <f>"POR DO SOL "</f>
        <v xml:space="preserve">POR DO SOL </v>
      </c>
      <c r="B2403" s="4" t="s">
        <v>343</v>
      </c>
      <c r="C2403" s="5">
        <v>16</v>
      </c>
      <c r="F2403" s="4" t="s">
        <v>9</v>
      </c>
      <c r="G2403" s="4" t="s">
        <v>4145</v>
      </c>
      <c r="H2403" s="6" t="s">
        <v>11</v>
      </c>
    </row>
    <row r="2404" spans="1:8" x14ac:dyDescent="0.25">
      <c r="A2404" s="4" t="str">
        <f>"REFIL CAFÉ FILTRADO "</f>
        <v xml:space="preserve">REFIL CAFÉ FILTRADO </v>
      </c>
      <c r="B2404" s="4" t="s">
        <v>343</v>
      </c>
      <c r="C2404" s="5">
        <v>20</v>
      </c>
      <c r="F2404" s="4" t="s">
        <v>9</v>
      </c>
      <c r="G2404" s="4" t="s">
        <v>4300</v>
      </c>
      <c r="H2404" s="6" t="s">
        <v>11</v>
      </c>
    </row>
    <row r="2405" spans="1:8" x14ac:dyDescent="0.25">
      <c r="A2405" s="4" t="s">
        <v>4611</v>
      </c>
      <c r="B2405" s="4" t="s">
        <v>343</v>
      </c>
      <c r="C2405" s="5">
        <v>16</v>
      </c>
      <c r="F2405" s="4" t="s">
        <v>9</v>
      </c>
      <c r="G2405" s="4" t="s">
        <v>4612</v>
      </c>
      <c r="H2405" s="6" t="s">
        <v>11</v>
      </c>
    </row>
    <row r="2406" spans="1:8" x14ac:dyDescent="0.25">
      <c r="A2406" s="4" t="s">
        <v>4660</v>
      </c>
      <c r="B2406" s="4" t="s">
        <v>343</v>
      </c>
      <c r="C2406" s="5">
        <v>21</v>
      </c>
      <c r="F2406" s="4" t="s">
        <v>9</v>
      </c>
      <c r="G2406" s="4" t="s">
        <v>4661</v>
      </c>
      <c r="H2406" s="6" t="s">
        <v>11</v>
      </c>
    </row>
    <row r="2407" spans="1:8" x14ac:dyDescent="0.25">
      <c r="A2407" s="4" t="s">
        <v>4802</v>
      </c>
      <c r="B2407" s="4" t="s">
        <v>343</v>
      </c>
      <c r="C2407" s="5">
        <v>8</v>
      </c>
      <c r="F2407" s="4" t="s">
        <v>9</v>
      </c>
      <c r="G2407" s="4" t="s">
        <v>4803</v>
      </c>
      <c r="H2407" s="6" t="s">
        <v>11</v>
      </c>
    </row>
    <row r="2408" spans="1:8" x14ac:dyDescent="0.25">
      <c r="A2408" s="4" t="s">
        <v>4911</v>
      </c>
      <c r="B2408" s="4" t="s">
        <v>343</v>
      </c>
      <c r="C2408" s="5">
        <v>49</v>
      </c>
      <c r="F2408" s="4" t="s">
        <v>9</v>
      </c>
      <c r="G2408" s="4" t="s">
        <v>4912</v>
      </c>
      <c r="H2408" s="6" t="s">
        <v>11</v>
      </c>
    </row>
    <row r="2409" spans="1:8" x14ac:dyDescent="0.25">
      <c r="A2409" s="4" t="str">
        <f>"BEERKEG DESCARTAVEL- ESTOQUE "</f>
        <v xml:space="preserve">BEERKEG DESCARTAVEL- ESTOQUE </v>
      </c>
      <c r="B2409" s="4" t="s">
        <v>275</v>
      </c>
      <c r="D2409" s="5">
        <v>100</v>
      </c>
      <c r="F2409" s="4" t="s">
        <v>9</v>
      </c>
      <c r="G2409" s="4" t="s">
        <v>276</v>
      </c>
      <c r="H2409" s="6" t="s">
        <v>11</v>
      </c>
    </row>
    <row r="2410" spans="1:8" x14ac:dyDescent="0.25">
      <c r="A2410" s="4" t="str">
        <f>"BONNA BEER- TROPICAL FOREST- ESTOQUE TAP "</f>
        <v xml:space="preserve">BONNA BEER- TROPICAL FOREST- ESTOQUE TAP </v>
      </c>
      <c r="B2410" s="4" t="s">
        <v>275</v>
      </c>
      <c r="D2410" s="5">
        <v>19.38</v>
      </c>
      <c r="F2410" s="4" t="s">
        <v>59</v>
      </c>
      <c r="G2410" s="4" t="s">
        <v>374</v>
      </c>
      <c r="H2410" s="6" t="s">
        <v>11</v>
      </c>
    </row>
    <row r="2411" spans="1:8" x14ac:dyDescent="0.25">
      <c r="A2411" s="4" t="str">
        <f>"CATHARINA SOUR CAJU E CAJÁ  SOUR - ESTOQUE "</f>
        <v xml:space="preserve">CATHARINA SOUR CAJU E CAJÁ  SOUR - ESTOQUE </v>
      </c>
      <c r="B2411" s="4" t="s">
        <v>275</v>
      </c>
      <c r="D2411" s="5">
        <v>19.399999999999999</v>
      </c>
      <c r="F2411" s="4" t="s">
        <v>59</v>
      </c>
      <c r="G2411" s="4" t="s">
        <v>707</v>
      </c>
      <c r="H2411" s="6" t="s">
        <v>11</v>
      </c>
    </row>
    <row r="2412" spans="1:8" x14ac:dyDescent="0.25">
      <c r="A2412" s="4" t="str">
        <f>"CHOPE  BASTARDS + GO BREW - MARACAJU - ESTOQUE TAP "</f>
        <v xml:space="preserve">CHOPE  BASTARDS + GO BREW - MARACAJU - ESTOQUE TAP </v>
      </c>
      <c r="B2412" s="4" t="s">
        <v>275</v>
      </c>
      <c r="D2412" s="5">
        <v>21.9</v>
      </c>
      <c r="F2412" s="4" t="s">
        <v>59</v>
      </c>
      <c r="G2412" s="4" t="s">
        <v>876</v>
      </c>
      <c r="H2412" s="6" t="s">
        <v>11</v>
      </c>
    </row>
    <row r="2413" spans="1:8" x14ac:dyDescent="0.25">
      <c r="A2413" s="4" t="str">
        <f>"CHOPE  COICE DE MULA ROCKER ESTOQUE TAP "</f>
        <v xml:space="preserve">CHOPE  COICE DE MULA ROCKER ESTOQUE TAP </v>
      </c>
      <c r="B2413" s="4" t="s">
        <v>275</v>
      </c>
      <c r="D2413" s="5">
        <v>18.899999999999999</v>
      </c>
      <c r="F2413" s="4" t="s">
        <v>59</v>
      </c>
      <c r="G2413" s="4" t="s">
        <v>877</v>
      </c>
      <c r="H2413" s="6" t="s">
        <v>11</v>
      </c>
    </row>
    <row r="2414" spans="1:8" x14ac:dyDescent="0.25">
      <c r="A2414" s="4" t="s">
        <v>878</v>
      </c>
      <c r="B2414" s="4" t="s">
        <v>275</v>
      </c>
      <c r="D2414" s="5">
        <v>21.9</v>
      </c>
      <c r="F2414" s="4" t="s">
        <v>59</v>
      </c>
      <c r="G2414" s="4" t="s">
        <v>879</v>
      </c>
      <c r="H2414" s="6" t="s">
        <v>11</v>
      </c>
    </row>
    <row r="2415" spans="1:8" x14ac:dyDescent="0.25">
      <c r="A2415" s="4" t="str">
        <f>"CHOPE  IRONICA AMOR ACIDO - ESTOQUE TAP "</f>
        <v xml:space="preserve">CHOPE  IRONICA AMOR ACIDO - ESTOQUE TAP </v>
      </c>
      <c r="B2415" s="4" t="s">
        <v>275</v>
      </c>
      <c r="D2415" s="5">
        <v>19.899999999999999</v>
      </c>
      <c r="F2415" s="4" t="s">
        <v>59</v>
      </c>
      <c r="G2415" s="4" t="s">
        <v>880</v>
      </c>
      <c r="H2415" s="6" t="s">
        <v>11</v>
      </c>
    </row>
    <row r="2416" spans="1:8" x14ac:dyDescent="0.25">
      <c r="A2416" s="4" t="s">
        <v>882</v>
      </c>
      <c r="B2416" s="4" t="s">
        <v>275</v>
      </c>
      <c r="D2416" s="5">
        <v>16.899999999999999</v>
      </c>
      <c r="F2416" s="4" t="s">
        <v>59</v>
      </c>
      <c r="G2416" s="4" t="s">
        <v>883</v>
      </c>
      <c r="H2416" s="6" t="s">
        <v>11</v>
      </c>
    </row>
    <row r="2417" spans="1:8" x14ac:dyDescent="0.25">
      <c r="A2417" s="4" t="str">
        <f>"CHOPE  JOY PROJECT COFFE BREAK - ESTOQUE TAP "</f>
        <v xml:space="preserve">CHOPE  JOY PROJECT COFFE BREAK - ESTOQUE TAP </v>
      </c>
      <c r="B2417" s="4" t="s">
        <v>275</v>
      </c>
      <c r="D2417" s="5">
        <v>16</v>
      </c>
      <c r="F2417" s="4" t="s">
        <v>59</v>
      </c>
      <c r="G2417" s="4" t="s">
        <v>884</v>
      </c>
      <c r="H2417" s="6" t="s">
        <v>11</v>
      </c>
    </row>
    <row r="2418" spans="1:8" x14ac:dyDescent="0.25">
      <c r="A2418" s="4" t="str">
        <f>"CHOPE  JOY PROJECT YOU MUST BE HIGH - ESTOQUE TAP "</f>
        <v xml:space="preserve">CHOPE  JOY PROJECT YOU MUST BE HIGH - ESTOQUE TAP </v>
      </c>
      <c r="B2418" s="4" t="s">
        <v>275</v>
      </c>
      <c r="D2418" s="5">
        <v>22</v>
      </c>
      <c r="F2418" s="4" t="s">
        <v>59</v>
      </c>
      <c r="G2418" s="4" t="s">
        <v>885</v>
      </c>
      <c r="H2418" s="6" t="s">
        <v>11</v>
      </c>
    </row>
    <row r="2419" spans="1:8" x14ac:dyDescent="0.25">
      <c r="A2419" s="4" t="s">
        <v>886</v>
      </c>
      <c r="B2419" s="4" t="s">
        <v>275</v>
      </c>
      <c r="D2419" s="5">
        <v>18.010000000000002</v>
      </c>
      <c r="F2419" s="4" t="s">
        <v>59</v>
      </c>
      <c r="G2419" s="4" t="s">
        <v>887</v>
      </c>
      <c r="H2419" s="6" t="s">
        <v>11</v>
      </c>
    </row>
    <row r="2420" spans="1:8" x14ac:dyDescent="0.25">
      <c r="A2420" s="4" t="str">
        <f>"CHOPE  LOBOS RED ALE - ESTOQUE TAP "</f>
        <v xml:space="preserve">CHOPE  LOBOS RED ALE - ESTOQUE TAP </v>
      </c>
      <c r="B2420" s="4" t="s">
        <v>275</v>
      </c>
      <c r="D2420" s="5">
        <v>19</v>
      </c>
      <c r="F2420" s="4" t="s">
        <v>59</v>
      </c>
      <c r="G2420" s="4" t="s">
        <v>888</v>
      </c>
      <c r="H2420" s="6" t="s">
        <v>11</v>
      </c>
    </row>
    <row r="2421" spans="1:8" x14ac:dyDescent="0.25">
      <c r="A2421" s="4" t="s">
        <v>889</v>
      </c>
      <c r="B2421" s="4" t="s">
        <v>275</v>
      </c>
      <c r="D2421" s="5">
        <v>20.9</v>
      </c>
      <c r="F2421" s="4" t="s">
        <v>59</v>
      </c>
      <c r="G2421" s="4" t="s">
        <v>890</v>
      </c>
      <c r="H2421" s="6" t="s">
        <v>11</v>
      </c>
    </row>
    <row r="2422" spans="1:8" x14ac:dyDescent="0.25">
      <c r="A2422" s="4" t="str">
        <f>"CHOPE  MANIACS DOUBLE IPA - ESTOQUE TAP "</f>
        <v xml:space="preserve">CHOPE  MANIACS DOUBLE IPA - ESTOQUE TAP </v>
      </c>
      <c r="B2422" s="4" t="s">
        <v>275</v>
      </c>
      <c r="D2422" s="5">
        <v>25.11</v>
      </c>
      <c r="F2422" s="4" t="s">
        <v>59</v>
      </c>
      <c r="G2422" s="4" t="s">
        <v>891</v>
      </c>
      <c r="H2422" s="6" t="s">
        <v>11</v>
      </c>
    </row>
    <row r="2423" spans="1:8" x14ac:dyDescent="0.25">
      <c r="A2423" s="4" t="s">
        <v>892</v>
      </c>
      <c r="B2423" s="4" t="s">
        <v>275</v>
      </c>
      <c r="D2423" s="5">
        <v>29.61</v>
      </c>
      <c r="F2423" s="4" t="s">
        <v>59</v>
      </c>
      <c r="G2423" s="4" t="s">
        <v>893</v>
      </c>
      <c r="H2423" s="6" t="s">
        <v>11</v>
      </c>
    </row>
    <row r="2424" spans="1:8" x14ac:dyDescent="0.25">
      <c r="A2424" s="4" t="s">
        <v>894</v>
      </c>
      <c r="B2424" s="4" t="s">
        <v>275</v>
      </c>
      <c r="D2424" s="5">
        <v>21.9</v>
      </c>
      <c r="F2424" s="4" t="s">
        <v>59</v>
      </c>
      <c r="G2424" s="4" t="s">
        <v>895</v>
      </c>
      <c r="H2424" s="6" t="s">
        <v>11</v>
      </c>
    </row>
    <row r="2425" spans="1:8" x14ac:dyDescent="0.25">
      <c r="A2425" s="4" t="str">
        <f>"CHOPE  MASMORRA - BLACK MALIGNA - BLACK IPA - ESTOQUE TAP "</f>
        <v xml:space="preserve">CHOPE  MASMORRA - BLACK MALIGNA - BLACK IPA - ESTOQUE TAP </v>
      </c>
      <c r="B2425" s="4" t="s">
        <v>275</v>
      </c>
      <c r="D2425" s="5">
        <v>615</v>
      </c>
      <c r="F2425" s="4" t="s">
        <v>59</v>
      </c>
      <c r="G2425" s="4" t="s">
        <v>898</v>
      </c>
      <c r="H2425" s="6" t="s">
        <v>11</v>
      </c>
    </row>
    <row r="2426" spans="1:8" x14ac:dyDescent="0.25">
      <c r="A2426" s="4" t="s">
        <v>899</v>
      </c>
      <c r="B2426" s="4" t="s">
        <v>275</v>
      </c>
      <c r="D2426" s="5">
        <v>20.78</v>
      </c>
      <c r="F2426" s="4" t="s">
        <v>59</v>
      </c>
      <c r="G2426" s="4" t="s">
        <v>900</v>
      </c>
      <c r="H2426" s="6" t="s">
        <v>11</v>
      </c>
    </row>
    <row r="2427" spans="1:8" x14ac:dyDescent="0.25">
      <c r="A2427" s="4" t="str">
        <f>"CHOPE  PADRAO - ESTOQUE TAP "</f>
        <v xml:space="preserve">CHOPE  PADRAO - ESTOQUE TAP </v>
      </c>
      <c r="B2427" s="4" t="s">
        <v>275</v>
      </c>
      <c r="D2427" s="5">
        <v>25</v>
      </c>
      <c r="F2427" s="4" t="s">
        <v>59</v>
      </c>
      <c r="G2427" s="4" t="s">
        <v>901</v>
      </c>
      <c r="H2427" s="6" t="s">
        <v>11</v>
      </c>
    </row>
    <row r="2428" spans="1:8" x14ac:dyDescent="0.25">
      <c r="A2428" s="4" t="str">
        <f>"CHOPE  QUEEN SOUR  VAN DUCTH - ESTOQUE "</f>
        <v xml:space="preserve">CHOPE  QUEEN SOUR  VAN DUCTH - ESTOQUE </v>
      </c>
      <c r="B2428" s="4" t="s">
        <v>275</v>
      </c>
      <c r="D2428" s="5">
        <v>1.18</v>
      </c>
      <c r="F2428" s="4" t="s">
        <v>59</v>
      </c>
      <c r="G2428" s="4" t="s">
        <v>902</v>
      </c>
      <c r="H2428" s="6" t="s">
        <v>11</v>
      </c>
    </row>
    <row r="2429" spans="1:8" x14ac:dyDescent="0.25">
      <c r="A2429" s="4" t="str">
        <f>"CHOPE  SWAMP MARUI STARWAY - ESTOQUE TAP "</f>
        <v xml:space="preserve">CHOPE  SWAMP MARUI STARWAY - ESTOQUE TAP </v>
      </c>
      <c r="B2429" s="4" t="s">
        <v>275</v>
      </c>
      <c r="D2429" s="5">
        <v>23.5</v>
      </c>
      <c r="F2429" s="4" t="s">
        <v>59</v>
      </c>
      <c r="G2429" s="4" t="s">
        <v>903</v>
      </c>
      <c r="H2429" s="6" t="s">
        <v>11</v>
      </c>
    </row>
    <row r="2430" spans="1:8" x14ac:dyDescent="0.25">
      <c r="A2430" s="4" t="str">
        <f>"CHOPE  SWAMP MURIÇOCA INTER GALACT - ESTOQUE TAP "</f>
        <v xml:space="preserve">CHOPE  SWAMP MURIÇOCA INTER GALACT - ESTOQUE TAP </v>
      </c>
      <c r="B2430" s="4" t="s">
        <v>275</v>
      </c>
      <c r="D2430" s="5">
        <v>23.5</v>
      </c>
      <c r="F2430" s="4" t="s">
        <v>59</v>
      </c>
      <c r="G2430" s="4" t="s">
        <v>904</v>
      </c>
      <c r="H2430" s="6" t="s">
        <v>11</v>
      </c>
    </row>
    <row r="2431" spans="1:8" x14ac:dyDescent="0.25">
      <c r="A2431" s="4" t="str">
        <f>"CHOPE  SWAMP PIUM GALAXY - ESTOQUE TAP "</f>
        <v xml:space="preserve">CHOPE  SWAMP PIUM GALAXY - ESTOQUE TAP </v>
      </c>
      <c r="B2431" s="4" t="s">
        <v>275</v>
      </c>
      <c r="D2431" s="5">
        <v>25</v>
      </c>
      <c r="F2431" s="4" t="s">
        <v>59</v>
      </c>
      <c r="G2431" s="4" t="s">
        <v>905</v>
      </c>
      <c r="H2431" s="6" t="s">
        <v>11</v>
      </c>
    </row>
    <row r="2432" spans="1:8" x14ac:dyDescent="0.25">
      <c r="A2432" s="4" t="str">
        <f>"CHOPE  THE SUN IS HIGH SO AM I- ESTOQUE "</f>
        <v xml:space="preserve">CHOPE  THE SUN IS HIGH SO AM I- ESTOQUE </v>
      </c>
      <c r="B2432" s="4" t="s">
        <v>275</v>
      </c>
      <c r="D2432" s="5">
        <v>19.5</v>
      </c>
      <c r="F2432" s="4" t="s">
        <v>59</v>
      </c>
      <c r="G2432" s="4" t="s">
        <v>906</v>
      </c>
      <c r="H2432" s="6" t="s">
        <v>11</v>
      </c>
    </row>
    <row r="2433" spans="1:8" x14ac:dyDescent="0.25">
      <c r="A2433" s="4" t="str">
        <f>"CHOPE  TITANUS NEW ENGLAND IPA  - ESTOQUE "</f>
        <v xml:space="preserve">CHOPE  TITANUS NEW ENGLAND IPA  - ESTOQUE </v>
      </c>
      <c r="B2433" s="4" t="s">
        <v>275</v>
      </c>
      <c r="D2433" s="5">
        <v>27.51</v>
      </c>
      <c r="F2433" s="4" t="s">
        <v>59</v>
      </c>
      <c r="G2433" s="4" t="s">
        <v>910</v>
      </c>
      <c r="H2433" s="6" t="s">
        <v>11</v>
      </c>
    </row>
    <row r="2434" spans="1:8" x14ac:dyDescent="0.25">
      <c r="A2434" s="4" t="s">
        <v>915</v>
      </c>
      <c r="B2434" s="4" t="s">
        <v>275</v>
      </c>
      <c r="D2434" s="5">
        <v>186.48</v>
      </c>
      <c r="F2434" s="4" t="s">
        <v>59</v>
      </c>
      <c r="G2434" s="4" t="s">
        <v>916</v>
      </c>
      <c r="H2434" s="6" t="s">
        <v>11</v>
      </c>
    </row>
    <row r="2435" spans="1:8" x14ac:dyDescent="0.25">
      <c r="A2435" s="4" t="str">
        <f>"CHOPE ACID BLOOD  - ESTOQUE "</f>
        <v xml:space="preserve">CHOPE ACID BLOOD  - ESTOQUE </v>
      </c>
      <c r="B2435" s="4" t="s">
        <v>275</v>
      </c>
      <c r="D2435" s="5">
        <v>12.07</v>
      </c>
      <c r="F2435" s="4" t="s">
        <v>59</v>
      </c>
      <c r="G2435" s="4" t="s">
        <v>924</v>
      </c>
      <c r="H2435" s="6" t="s">
        <v>11</v>
      </c>
    </row>
    <row r="2436" spans="1:8" x14ac:dyDescent="0.25">
      <c r="A2436" s="4" t="s">
        <v>930</v>
      </c>
      <c r="B2436" s="4" t="s">
        <v>275</v>
      </c>
      <c r="D2436" s="5">
        <v>18.5</v>
      </c>
      <c r="F2436" s="4" t="s">
        <v>59</v>
      </c>
      <c r="G2436" s="4" t="s">
        <v>931</v>
      </c>
      <c r="H2436" s="6" t="s">
        <v>11</v>
      </c>
    </row>
    <row r="2437" spans="1:8" x14ac:dyDescent="0.25">
      <c r="A2437" s="4" t="str">
        <f>"CHOPE ALL ALONG- ESTOQUE TAP "</f>
        <v xml:space="preserve">CHOPE ALL ALONG- ESTOQUE TAP </v>
      </c>
      <c r="B2437" s="4" t="s">
        <v>275</v>
      </c>
      <c r="D2437" s="5">
        <v>17.7</v>
      </c>
      <c r="F2437" s="4" t="s">
        <v>59</v>
      </c>
      <c r="G2437" s="4" t="s">
        <v>935</v>
      </c>
      <c r="H2437" s="6" t="s">
        <v>11</v>
      </c>
    </row>
    <row r="2438" spans="1:8" x14ac:dyDescent="0.25">
      <c r="A2438" s="4" t="s">
        <v>938</v>
      </c>
      <c r="B2438" s="4" t="s">
        <v>275</v>
      </c>
      <c r="D2438" s="5">
        <v>16.010000000000002</v>
      </c>
      <c r="F2438" s="4" t="s">
        <v>59</v>
      </c>
      <c r="G2438" s="4" t="s">
        <v>939</v>
      </c>
      <c r="H2438" s="6" t="s">
        <v>11</v>
      </c>
    </row>
    <row r="2439" spans="1:8" x14ac:dyDescent="0.25">
      <c r="A2439" s="4" t="str">
        <f>"CHOPE ALRIGHT GRIZZLY GIANT RIS - ESTOQUE TAP "</f>
        <v xml:space="preserve">CHOPE ALRIGHT GRIZZLY GIANT RIS - ESTOQUE TAP </v>
      </c>
      <c r="B2439" s="4" t="s">
        <v>275</v>
      </c>
      <c r="D2439" s="5">
        <v>19.899999999999999</v>
      </c>
      <c r="F2439" s="4" t="s">
        <v>59</v>
      </c>
      <c r="G2439" s="4" t="s">
        <v>942</v>
      </c>
      <c r="H2439" s="6" t="s">
        <v>11</v>
      </c>
    </row>
    <row r="2440" spans="1:8" x14ac:dyDescent="0.25">
      <c r="A2440" s="4" t="s">
        <v>946</v>
      </c>
      <c r="B2440" s="4" t="s">
        <v>275</v>
      </c>
      <c r="D2440" s="5">
        <v>18.899999999999999</v>
      </c>
      <c r="F2440" s="4" t="s">
        <v>59</v>
      </c>
      <c r="G2440" s="4" t="s">
        <v>947</v>
      </c>
      <c r="H2440" s="6" t="s">
        <v>11</v>
      </c>
    </row>
    <row r="2441" spans="1:8" x14ac:dyDescent="0.25">
      <c r="A2441" s="4" t="s">
        <v>948</v>
      </c>
      <c r="B2441" s="4" t="s">
        <v>275</v>
      </c>
      <c r="D2441" s="5">
        <v>19.5</v>
      </c>
      <c r="F2441" s="4" t="s">
        <v>59</v>
      </c>
      <c r="G2441" s="4" t="s">
        <v>949</v>
      </c>
      <c r="H2441" s="6" t="s">
        <v>11</v>
      </c>
    </row>
    <row r="2442" spans="1:8" x14ac:dyDescent="0.25">
      <c r="A2442" s="4" t="str">
        <f>"CHOPE AMERICAN WHEAT- ESTOQUE "</f>
        <v xml:space="preserve">CHOPE AMERICAN WHEAT- ESTOQUE </v>
      </c>
      <c r="B2442" s="4" t="s">
        <v>275</v>
      </c>
      <c r="D2442" s="5">
        <v>17.5</v>
      </c>
      <c r="F2442" s="4" t="s">
        <v>59</v>
      </c>
      <c r="G2442" s="4" t="s">
        <v>952</v>
      </c>
      <c r="H2442" s="6" t="s">
        <v>11</v>
      </c>
    </row>
    <row r="2443" spans="1:8" x14ac:dyDescent="0.25">
      <c r="A2443" s="4" t="s">
        <v>953</v>
      </c>
      <c r="B2443" s="4" t="s">
        <v>275</v>
      </c>
      <c r="D2443" s="5">
        <v>19.899999999999999</v>
      </c>
      <c r="F2443" s="4" t="s">
        <v>59</v>
      </c>
      <c r="G2443" s="4" t="s">
        <v>954</v>
      </c>
      <c r="H2443" s="6" t="s">
        <v>11</v>
      </c>
    </row>
    <row r="2444" spans="1:8" x14ac:dyDescent="0.25">
      <c r="A2444" s="4" t="str">
        <f>"CHOPE ANNOYING TORANJITO- ESTOQUE "</f>
        <v xml:space="preserve">CHOPE ANNOYING TORANJITO- ESTOQUE </v>
      </c>
      <c r="B2444" s="4" t="s">
        <v>275</v>
      </c>
      <c r="D2444" s="5">
        <v>18.5</v>
      </c>
      <c r="F2444" s="4" t="s">
        <v>59</v>
      </c>
      <c r="G2444" s="4" t="s">
        <v>961</v>
      </c>
      <c r="H2444" s="6" t="s">
        <v>11</v>
      </c>
    </row>
    <row r="2445" spans="1:8" x14ac:dyDescent="0.25">
      <c r="A2445" s="4" t="str">
        <f>"CHOPE ARCTIC MOON - ESTOQUE TAP "</f>
        <v xml:space="preserve">CHOPE ARCTIC MOON - ESTOQUE TAP </v>
      </c>
      <c r="B2445" s="4" t="s">
        <v>275</v>
      </c>
      <c r="D2445" s="5">
        <v>19.5</v>
      </c>
      <c r="F2445" s="4" t="s">
        <v>59</v>
      </c>
      <c r="G2445" s="4" t="s">
        <v>962</v>
      </c>
      <c r="H2445" s="6" t="s">
        <v>11</v>
      </c>
    </row>
    <row r="2446" spans="1:8" x14ac:dyDescent="0.25">
      <c r="A2446" s="4" t="str">
        <f>"CHOPE BASTARDS XP094 HOP HEADS SESSION IPA - ESTOQUE TAP "</f>
        <v xml:space="preserve">CHOPE BASTARDS XP094 HOP HEADS SESSION IPA - ESTOQUE TAP </v>
      </c>
      <c r="B2446" s="4" t="s">
        <v>275</v>
      </c>
      <c r="D2446" s="5">
        <v>19.079999999999998</v>
      </c>
      <c r="F2446" s="4" t="s">
        <v>59</v>
      </c>
      <c r="G2446" s="4" t="s">
        <v>982</v>
      </c>
      <c r="H2446" s="6" t="s">
        <v>11</v>
      </c>
    </row>
    <row r="2447" spans="1:8" x14ac:dyDescent="0.25">
      <c r="A2447" s="4" t="str">
        <f>"CHOPE BASTARDS XP92 GOLDEN NEW ENGLAND IPA - ESTOQUE TAP "</f>
        <v xml:space="preserve">CHOPE BASTARDS XP92 GOLDEN NEW ENGLAND IPA - ESTOQUE TAP </v>
      </c>
      <c r="B2447" s="4" t="s">
        <v>275</v>
      </c>
      <c r="D2447" s="5">
        <v>22.9</v>
      </c>
      <c r="F2447" s="4" t="s">
        <v>59</v>
      </c>
      <c r="G2447" s="4" t="s">
        <v>990</v>
      </c>
      <c r="H2447" s="6" t="s">
        <v>11</v>
      </c>
    </row>
    <row r="2448" spans="1:8" x14ac:dyDescent="0.25">
      <c r="A2448" s="4" t="str">
        <f>"CHOPE BELGIAN IPA  - ESTOQUE "</f>
        <v xml:space="preserve">CHOPE BELGIAN IPA  - ESTOQUE </v>
      </c>
      <c r="B2448" s="4" t="s">
        <v>275</v>
      </c>
      <c r="D2448" s="5">
        <v>16.690000000000001</v>
      </c>
      <c r="F2448" s="4" t="s">
        <v>59</v>
      </c>
      <c r="G2448" s="4" t="s">
        <v>996</v>
      </c>
      <c r="H2448" s="6" t="s">
        <v>11</v>
      </c>
    </row>
    <row r="2449" spans="1:8" x14ac:dyDescent="0.25">
      <c r="A2449" s="4" t="s">
        <v>1000</v>
      </c>
      <c r="B2449" s="4" t="s">
        <v>275</v>
      </c>
      <c r="D2449" s="5">
        <v>16.59</v>
      </c>
      <c r="F2449" s="4" t="s">
        <v>59</v>
      </c>
      <c r="G2449" s="4" t="s">
        <v>1001</v>
      </c>
      <c r="H2449" s="6" t="s">
        <v>11</v>
      </c>
    </row>
    <row r="2450" spans="1:8" x14ac:dyDescent="0.25">
      <c r="A2450" s="4" t="str">
        <f>"CHOPE BLACK MARIA- ESTOQUE TAP "</f>
        <v xml:space="preserve">CHOPE BLACK MARIA- ESTOQUE TAP </v>
      </c>
      <c r="B2450" s="4" t="s">
        <v>275</v>
      </c>
      <c r="D2450" s="5">
        <v>14.03</v>
      </c>
      <c r="F2450" s="4" t="s">
        <v>59</v>
      </c>
      <c r="G2450" s="4" t="s">
        <v>1013</v>
      </c>
      <c r="H2450" s="6" t="s">
        <v>11</v>
      </c>
    </row>
    <row r="2451" spans="1:8" x14ac:dyDescent="0.25">
      <c r="A2451" s="4" t="str">
        <f>"CHOPE BLACK NAPALM - ESTOQUE  TAP "</f>
        <v xml:space="preserve">CHOPE BLACK NAPALM - ESTOQUE  TAP </v>
      </c>
      <c r="B2451" s="4" t="s">
        <v>275</v>
      </c>
      <c r="D2451" s="5">
        <v>34</v>
      </c>
      <c r="F2451" s="4" t="s">
        <v>59</v>
      </c>
      <c r="G2451" s="4" t="s">
        <v>1016</v>
      </c>
      <c r="H2451" s="6" t="s">
        <v>11</v>
      </c>
    </row>
    <row r="2452" spans="1:8" x14ac:dyDescent="0.25">
      <c r="A2452" s="4" t="str">
        <f>"CHOPE BOIÚNA - ESTOQUE TAP "</f>
        <v xml:space="preserve">CHOPE BOIÚNA - ESTOQUE TAP </v>
      </c>
      <c r="B2452" s="4" t="s">
        <v>275</v>
      </c>
      <c r="D2452" s="5">
        <v>360</v>
      </c>
      <c r="F2452" s="4" t="s">
        <v>59</v>
      </c>
      <c r="G2452" s="4" t="s">
        <v>1017</v>
      </c>
      <c r="H2452" s="6" t="s">
        <v>11</v>
      </c>
    </row>
    <row r="2453" spans="1:8" x14ac:dyDescent="0.25">
      <c r="A2453" s="4" t="str">
        <f>"CHOPE BONNA 6 ANOS - ESTOQUE TAP "</f>
        <v xml:space="preserve">CHOPE BONNA 6 ANOS - ESTOQUE TAP </v>
      </c>
      <c r="B2453" s="4" t="s">
        <v>275</v>
      </c>
      <c r="D2453" s="5">
        <v>20.9</v>
      </c>
      <c r="F2453" s="4" t="s">
        <v>59</v>
      </c>
      <c r="G2453" s="4" t="s">
        <v>1021</v>
      </c>
      <c r="H2453" s="6" t="s">
        <v>11</v>
      </c>
    </row>
    <row r="2454" spans="1:8" x14ac:dyDescent="0.25">
      <c r="A2454" s="4" t="s">
        <v>1025</v>
      </c>
      <c r="B2454" s="4" t="s">
        <v>275</v>
      </c>
      <c r="D2454" s="5">
        <v>20.9</v>
      </c>
      <c r="F2454" s="4" t="s">
        <v>59</v>
      </c>
      <c r="G2454" s="4" t="s">
        <v>1026</v>
      </c>
      <c r="H2454" s="6" t="s">
        <v>11</v>
      </c>
    </row>
    <row r="2455" spans="1:8" x14ac:dyDescent="0.25">
      <c r="A2455" s="4" t="str">
        <f>"CHOPE BONNA BEER SURFIN BIRD AMERICAN IPA - ESTOQUE TAP "</f>
        <v xml:space="preserve">CHOPE BONNA BEER SURFIN BIRD AMERICAN IPA - ESTOQUE TAP </v>
      </c>
      <c r="B2455" s="4" t="s">
        <v>275</v>
      </c>
      <c r="D2455" s="5">
        <v>19</v>
      </c>
      <c r="F2455" s="4" t="s">
        <v>59</v>
      </c>
      <c r="G2455" s="4" t="s">
        <v>1038</v>
      </c>
      <c r="H2455" s="6" t="s">
        <v>11</v>
      </c>
    </row>
    <row r="2456" spans="1:8" x14ac:dyDescent="0.25">
      <c r="A2456" s="4" t="s">
        <v>1039</v>
      </c>
      <c r="B2456" s="4" t="s">
        <v>275</v>
      </c>
      <c r="D2456" s="5">
        <v>14</v>
      </c>
      <c r="F2456" s="4" t="s">
        <v>59</v>
      </c>
      <c r="G2456" s="4" t="s">
        <v>1040</v>
      </c>
      <c r="H2456" s="6" t="s">
        <v>11</v>
      </c>
    </row>
    <row r="2457" spans="1:8" x14ac:dyDescent="0.25">
      <c r="A2457" s="4" t="str">
        <f>"CHOPE BONNA EASY RIDER - ESTOQUE TAP "</f>
        <v xml:space="preserve">CHOPE BONNA EASY RIDER - ESTOQUE TAP </v>
      </c>
      <c r="B2457" s="4" t="s">
        <v>275</v>
      </c>
      <c r="D2457" s="5">
        <v>19.5</v>
      </c>
      <c r="F2457" s="4" t="s">
        <v>59</v>
      </c>
      <c r="G2457" s="4" t="s">
        <v>1041</v>
      </c>
      <c r="H2457" s="6" t="s">
        <v>11</v>
      </c>
    </row>
    <row r="2458" spans="1:8" x14ac:dyDescent="0.25">
      <c r="A2458" s="4" t="str">
        <f>"CHOPE BONNA GOES DUTCH - ESTOQUE TAP "</f>
        <v xml:space="preserve">CHOPE BONNA GOES DUTCH - ESTOQUE TAP </v>
      </c>
      <c r="B2458" s="4" t="s">
        <v>275</v>
      </c>
      <c r="D2458" s="5">
        <v>22</v>
      </c>
      <c r="F2458" s="4" t="s">
        <v>59</v>
      </c>
      <c r="G2458" s="4" t="s">
        <v>1042</v>
      </c>
      <c r="H2458" s="6" t="s">
        <v>11</v>
      </c>
    </row>
    <row r="2459" spans="1:8" x14ac:dyDescent="0.25">
      <c r="A2459" s="4" t="s">
        <v>1045</v>
      </c>
      <c r="B2459" s="4" t="s">
        <v>275</v>
      </c>
      <c r="D2459" s="5">
        <v>18.5</v>
      </c>
      <c r="F2459" s="4" t="s">
        <v>59</v>
      </c>
      <c r="G2459" s="4" t="s">
        <v>1046</v>
      </c>
      <c r="H2459" s="6" t="s">
        <v>11</v>
      </c>
    </row>
    <row r="2460" spans="1:8" x14ac:dyDescent="0.25">
      <c r="A2460" s="4" t="str">
        <f>"CHOPE BONNA TROPICAL FOREST 2 - ESTOQUE TAP "</f>
        <v xml:space="preserve">CHOPE BONNA TROPICAL FOREST 2 - ESTOQUE TAP </v>
      </c>
      <c r="B2460" s="4" t="s">
        <v>275</v>
      </c>
      <c r="D2460" s="5">
        <v>25</v>
      </c>
      <c r="F2460" s="4" t="s">
        <v>59</v>
      </c>
      <c r="G2460" s="4" t="s">
        <v>1049</v>
      </c>
      <c r="H2460" s="6" t="s">
        <v>11</v>
      </c>
    </row>
    <row r="2461" spans="1:8" x14ac:dyDescent="0.25">
      <c r="A2461" s="4" t="s">
        <v>1050</v>
      </c>
      <c r="B2461" s="4" t="s">
        <v>275</v>
      </c>
      <c r="D2461" s="5">
        <v>19.93</v>
      </c>
      <c r="E2461" s="5">
        <v>-0.3</v>
      </c>
      <c r="F2461" s="4" t="s">
        <v>59</v>
      </c>
      <c r="G2461" s="4" t="s">
        <v>1051</v>
      </c>
      <c r="H2461" s="6" t="s">
        <v>11</v>
      </c>
    </row>
    <row r="2462" spans="1:8" x14ac:dyDescent="0.25">
      <c r="A2462" s="4" t="str">
        <f>"CHOPE BUDDY WEIZEN - ESTOQUE "</f>
        <v xml:space="preserve">CHOPE BUDDY WEIZEN - ESTOQUE </v>
      </c>
      <c r="B2462" s="4" t="s">
        <v>275</v>
      </c>
      <c r="D2462" s="5">
        <v>13.5</v>
      </c>
      <c r="F2462" s="4" t="s">
        <v>59</v>
      </c>
      <c r="G2462" s="4" t="s">
        <v>1062</v>
      </c>
      <c r="H2462" s="6" t="s">
        <v>11</v>
      </c>
    </row>
    <row r="2463" spans="1:8" x14ac:dyDescent="0.25">
      <c r="A2463" s="4" t="s">
        <v>1069</v>
      </c>
      <c r="B2463" s="4" t="s">
        <v>275</v>
      </c>
      <c r="D2463" s="5">
        <v>537</v>
      </c>
      <c r="F2463" s="4" t="s">
        <v>59</v>
      </c>
      <c r="G2463" s="4" t="s">
        <v>1070</v>
      </c>
      <c r="H2463" s="6" t="s">
        <v>11</v>
      </c>
    </row>
    <row r="2464" spans="1:8" x14ac:dyDescent="0.25">
      <c r="A2464" s="4" t="s">
        <v>1071</v>
      </c>
      <c r="B2464" s="4" t="s">
        <v>275</v>
      </c>
      <c r="D2464" s="5">
        <v>18.899999999999999</v>
      </c>
      <c r="F2464" s="4" t="s">
        <v>59</v>
      </c>
      <c r="G2464" s="4" t="s">
        <v>1072</v>
      </c>
      <c r="H2464" s="6" t="s">
        <v>11</v>
      </c>
    </row>
    <row r="2465" spans="1:8" x14ac:dyDescent="0.25">
      <c r="A2465" s="4" t="str">
        <f>"CHOPE CANABICAO - ESTOQUE "</f>
        <v xml:space="preserve">CHOPE CANABICAO - ESTOQUE </v>
      </c>
      <c r="B2465" s="4" t="s">
        <v>275</v>
      </c>
      <c r="D2465" s="5">
        <v>17.8</v>
      </c>
      <c r="E2465" s="5">
        <v>-2.4</v>
      </c>
      <c r="F2465" s="4" t="s">
        <v>59</v>
      </c>
      <c r="G2465" s="4" t="s">
        <v>1079</v>
      </c>
      <c r="H2465" s="6" t="s">
        <v>11</v>
      </c>
    </row>
    <row r="2466" spans="1:8" x14ac:dyDescent="0.25">
      <c r="A2466" s="4" t="s">
        <v>1083</v>
      </c>
      <c r="B2466" s="4" t="s">
        <v>275</v>
      </c>
      <c r="D2466" s="5">
        <v>16.850000000000001</v>
      </c>
      <c r="F2466" s="4" t="s">
        <v>59</v>
      </c>
      <c r="G2466" s="4" t="s">
        <v>1084</v>
      </c>
      <c r="H2466" s="6" t="s">
        <v>11</v>
      </c>
    </row>
    <row r="2467" spans="1:8" x14ac:dyDescent="0.25">
      <c r="A2467" s="4" t="str">
        <f>"CHOPE CHAKRA- ESTOQUE "</f>
        <v xml:space="preserve">CHOPE CHAKRA- ESTOQUE </v>
      </c>
      <c r="B2467" s="4" t="s">
        <v>275</v>
      </c>
      <c r="D2467" s="5">
        <v>18.61</v>
      </c>
      <c r="F2467" s="4" t="s">
        <v>59</v>
      </c>
      <c r="G2467" s="4" t="s">
        <v>1092</v>
      </c>
      <c r="H2467" s="6" t="s">
        <v>11</v>
      </c>
    </row>
    <row r="2468" spans="1:8" x14ac:dyDescent="0.25">
      <c r="A2468" s="4" t="s">
        <v>1098</v>
      </c>
      <c r="B2468" s="4" t="s">
        <v>275</v>
      </c>
      <c r="D2468" s="5">
        <v>12.22</v>
      </c>
      <c r="F2468" s="4" t="s">
        <v>59</v>
      </c>
      <c r="G2468" s="4" t="s">
        <v>1099</v>
      </c>
      <c r="H2468" s="6" t="s">
        <v>11</v>
      </c>
    </row>
    <row r="2469" spans="1:8" x14ac:dyDescent="0.25">
      <c r="A2469" s="4" t="s">
        <v>1108</v>
      </c>
      <c r="B2469" s="4" t="s">
        <v>275</v>
      </c>
      <c r="D2469" s="5">
        <v>777</v>
      </c>
      <c r="E2469" s="5">
        <v>-38338.589999999997</v>
      </c>
      <c r="F2469" s="4" t="s">
        <v>59</v>
      </c>
      <c r="G2469" s="4" t="s">
        <v>1109</v>
      </c>
      <c r="H2469" s="6" t="s">
        <v>11</v>
      </c>
    </row>
    <row r="2470" spans="1:8" x14ac:dyDescent="0.25">
      <c r="A2470" s="4" t="str">
        <f>"CHOPE CREAM IPA 2.0 - ESTOQUE "</f>
        <v xml:space="preserve">CHOPE CREAM IPA 2.0 - ESTOQUE </v>
      </c>
      <c r="B2470" s="4" t="s">
        <v>275</v>
      </c>
      <c r="D2470" s="5">
        <v>20</v>
      </c>
      <c r="F2470" s="4" t="s">
        <v>59</v>
      </c>
      <c r="G2470" s="4" t="s">
        <v>1114</v>
      </c>
      <c r="H2470" s="6" t="s">
        <v>11</v>
      </c>
    </row>
    <row r="2471" spans="1:8" x14ac:dyDescent="0.25">
      <c r="A2471" s="4" t="s">
        <v>1124</v>
      </c>
      <c r="B2471" s="4" t="s">
        <v>275</v>
      </c>
      <c r="D2471" s="5">
        <v>24.5</v>
      </c>
      <c r="F2471" s="4" t="s">
        <v>59</v>
      </c>
      <c r="G2471" s="4" t="s">
        <v>1125</v>
      </c>
      <c r="H2471" s="6" t="s">
        <v>11</v>
      </c>
    </row>
    <row r="2472" spans="1:8" x14ac:dyDescent="0.25">
      <c r="A2472" s="4" t="str">
        <f>"CHOPE DELOREAN - ESTOQUE "</f>
        <v xml:space="preserve">CHOPE DELOREAN - ESTOQUE </v>
      </c>
      <c r="B2472" s="4" t="s">
        <v>275</v>
      </c>
      <c r="D2472" s="5">
        <v>25.95</v>
      </c>
      <c r="F2472" s="4" t="s">
        <v>59</v>
      </c>
      <c r="G2472" s="4" t="s">
        <v>1130</v>
      </c>
      <c r="H2472" s="6" t="s">
        <v>11</v>
      </c>
    </row>
    <row r="2473" spans="1:8" x14ac:dyDescent="0.25">
      <c r="A2473" s="4" t="str">
        <f>"CHOPE DO DJNHO MASMORRA  - ESTOQUE "</f>
        <v xml:space="preserve">CHOPE DO DJNHO MASMORRA  - ESTOQUE </v>
      </c>
      <c r="B2473" s="4" t="s">
        <v>275</v>
      </c>
      <c r="D2473" s="5">
        <v>585</v>
      </c>
      <c r="F2473" s="4" t="s">
        <v>59</v>
      </c>
      <c r="G2473" s="4" t="s">
        <v>1133</v>
      </c>
      <c r="H2473" s="6" t="s">
        <v>11</v>
      </c>
    </row>
    <row r="2474" spans="1:8" x14ac:dyDescent="0.25">
      <c r="A2474" s="4" t="s">
        <v>1136</v>
      </c>
      <c r="B2474" s="4" t="s">
        <v>275</v>
      </c>
      <c r="D2474" s="5">
        <v>15.07</v>
      </c>
      <c r="E2474" s="5">
        <v>270</v>
      </c>
      <c r="F2474" s="4" t="s">
        <v>59</v>
      </c>
      <c r="G2474" s="4" t="s">
        <v>1137</v>
      </c>
      <c r="H2474" s="6" t="s">
        <v>11</v>
      </c>
    </row>
    <row r="2475" spans="1:8" x14ac:dyDescent="0.25">
      <c r="A2475" s="4" t="s">
        <v>1138</v>
      </c>
      <c r="B2475" s="4" t="s">
        <v>275</v>
      </c>
      <c r="D2475" s="5">
        <v>13.9</v>
      </c>
      <c r="F2475" s="4" t="s">
        <v>59</v>
      </c>
      <c r="G2475" s="4" t="s">
        <v>1139</v>
      </c>
      <c r="H2475" s="6" t="s">
        <v>11</v>
      </c>
    </row>
    <row r="2476" spans="1:8" x14ac:dyDescent="0.25">
      <c r="A2476" s="4" t="str">
        <f>"CHOPE DOUBLE TEIMOSA- ESTOQUE TAP "</f>
        <v xml:space="preserve">CHOPE DOUBLE TEIMOSA- ESTOQUE TAP </v>
      </c>
      <c r="B2476" s="4" t="s">
        <v>275</v>
      </c>
      <c r="D2476" s="5">
        <v>19.899999999999999</v>
      </c>
      <c r="F2476" s="4" t="s">
        <v>59</v>
      </c>
      <c r="G2476" s="4" t="s">
        <v>1147</v>
      </c>
      <c r="H2476" s="6" t="s">
        <v>11</v>
      </c>
    </row>
    <row r="2477" spans="1:8" x14ac:dyDescent="0.25">
      <c r="A2477" s="4" t="s">
        <v>1148</v>
      </c>
      <c r="B2477" s="4" t="s">
        <v>275</v>
      </c>
      <c r="D2477" s="5">
        <v>20.5</v>
      </c>
      <c r="F2477" s="4" t="s">
        <v>59</v>
      </c>
      <c r="G2477" s="4" t="s">
        <v>1149</v>
      </c>
      <c r="H2477" s="6" t="s">
        <v>11</v>
      </c>
    </row>
    <row r="2478" spans="1:8" x14ac:dyDescent="0.25">
      <c r="A2478" s="4" t="s">
        <v>1150</v>
      </c>
      <c r="B2478" s="4" t="s">
        <v>275</v>
      </c>
      <c r="D2478" s="5">
        <v>14</v>
      </c>
      <c r="F2478" s="4" t="s">
        <v>59</v>
      </c>
      <c r="G2478" s="4" t="s">
        <v>1151</v>
      </c>
      <c r="H2478" s="6" t="s">
        <v>11</v>
      </c>
    </row>
    <row r="2479" spans="1:8" x14ac:dyDescent="0.25">
      <c r="A2479" s="4" t="str">
        <f>"CHOPE ELDORADO - ESTOQUE TAP "</f>
        <v xml:space="preserve">CHOPE ELDORADO - ESTOQUE TAP </v>
      </c>
      <c r="B2479" s="4" t="s">
        <v>275</v>
      </c>
      <c r="D2479" s="5">
        <v>22</v>
      </c>
      <c r="F2479" s="4" t="s">
        <v>59</v>
      </c>
      <c r="G2479" s="4" t="s">
        <v>1161</v>
      </c>
      <c r="H2479" s="6" t="s">
        <v>11</v>
      </c>
    </row>
    <row r="2480" spans="1:8" x14ac:dyDescent="0.25">
      <c r="A2480" s="4" t="str">
        <f>"CHOPE EUFORIA DE FRUTAS  - ESTOQUE "</f>
        <v xml:space="preserve">CHOPE EUFORIA DE FRUTAS  - ESTOQUE </v>
      </c>
      <c r="B2480" s="4" t="s">
        <v>275</v>
      </c>
      <c r="D2480" s="5">
        <v>9.64</v>
      </c>
      <c r="F2480" s="4" t="s">
        <v>59</v>
      </c>
      <c r="G2480" s="4" t="s">
        <v>1166</v>
      </c>
      <c r="H2480" s="6" t="s">
        <v>11</v>
      </c>
    </row>
    <row r="2481" spans="1:8" x14ac:dyDescent="0.25">
      <c r="A2481" s="4" t="s">
        <v>1169</v>
      </c>
      <c r="B2481" s="4" t="s">
        <v>275</v>
      </c>
      <c r="D2481" s="5">
        <v>19.399999999999999</v>
      </c>
      <c r="F2481" s="4" t="s">
        <v>59</v>
      </c>
      <c r="G2481" s="4" t="s">
        <v>1170</v>
      </c>
      <c r="H2481" s="6" t="s">
        <v>11</v>
      </c>
    </row>
    <row r="2482" spans="1:8" x14ac:dyDescent="0.25">
      <c r="A2482" s="4" t="s">
        <v>1175</v>
      </c>
      <c r="B2482" s="4" t="s">
        <v>275</v>
      </c>
      <c r="D2482" s="5">
        <v>4.5599999999999996</v>
      </c>
      <c r="F2482" s="4" t="s">
        <v>59</v>
      </c>
      <c r="G2482" s="4" t="s">
        <v>1176</v>
      </c>
      <c r="H2482" s="6" t="s">
        <v>11</v>
      </c>
    </row>
    <row r="2483" spans="1:8" x14ac:dyDescent="0.25">
      <c r="A2483" s="4" t="s">
        <v>1177</v>
      </c>
      <c r="B2483" s="4" t="s">
        <v>275</v>
      </c>
      <c r="D2483" s="5">
        <v>24</v>
      </c>
      <c r="F2483" s="4" t="s">
        <v>59</v>
      </c>
      <c r="G2483" s="4" t="s">
        <v>1178</v>
      </c>
      <c r="H2483" s="6" t="s">
        <v>11</v>
      </c>
    </row>
    <row r="2484" spans="1:8" x14ac:dyDescent="0.25">
      <c r="A2484" s="4" t="str">
        <f>"CHOPE FORTUNA CHAI STOUT - ESTOQUE TAP "</f>
        <v xml:space="preserve">CHOPE FORTUNA CHAI STOUT - ESTOQUE TAP </v>
      </c>
      <c r="B2484" s="4" t="s">
        <v>275</v>
      </c>
      <c r="D2484" s="5">
        <v>19.2</v>
      </c>
      <c r="F2484" s="4" t="s">
        <v>59</v>
      </c>
      <c r="G2484" s="4" t="s">
        <v>1186</v>
      </c>
      <c r="H2484" s="6" t="s">
        <v>11</v>
      </c>
    </row>
    <row r="2485" spans="1:8" x14ac:dyDescent="0.25">
      <c r="A2485" s="4" t="s">
        <v>1187</v>
      </c>
      <c r="B2485" s="4" t="s">
        <v>275</v>
      </c>
      <c r="D2485" s="5">
        <v>10</v>
      </c>
      <c r="F2485" s="4" t="s">
        <v>59</v>
      </c>
      <c r="G2485" s="4" t="s">
        <v>1188</v>
      </c>
      <c r="H2485" s="6" t="s">
        <v>11</v>
      </c>
    </row>
    <row r="2486" spans="1:8" x14ac:dyDescent="0.25">
      <c r="A2486" s="4" t="s">
        <v>1189</v>
      </c>
      <c r="B2486" s="4" t="s">
        <v>275</v>
      </c>
      <c r="D2486" s="5">
        <v>19</v>
      </c>
      <c r="F2486" s="4" t="s">
        <v>59</v>
      </c>
      <c r="G2486" s="4" t="s">
        <v>1190</v>
      </c>
      <c r="H2486" s="6" t="s">
        <v>11</v>
      </c>
    </row>
    <row r="2487" spans="1:8" x14ac:dyDescent="0.25">
      <c r="A2487" s="4" t="str">
        <f>"CHOPE FROGGY IPA  - ESTOQUE "</f>
        <v xml:space="preserve">CHOPE FROGGY IPA  - ESTOQUE </v>
      </c>
      <c r="B2487" s="4" t="s">
        <v>275</v>
      </c>
      <c r="D2487" s="5">
        <v>19</v>
      </c>
      <c r="F2487" s="4" t="s">
        <v>59</v>
      </c>
      <c r="G2487" s="4" t="s">
        <v>1196</v>
      </c>
      <c r="H2487" s="6" t="s">
        <v>11</v>
      </c>
    </row>
    <row r="2488" spans="1:8" x14ac:dyDescent="0.25">
      <c r="A2488" s="4" t="s">
        <v>1198</v>
      </c>
      <c r="B2488" s="4" t="s">
        <v>275</v>
      </c>
      <c r="D2488" s="5">
        <v>24.06</v>
      </c>
      <c r="F2488" s="4" t="s">
        <v>59</v>
      </c>
      <c r="G2488" s="4" t="s">
        <v>1199</v>
      </c>
      <c r="H2488" s="6" t="s">
        <v>11</v>
      </c>
    </row>
    <row r="2489" spans="1:8" x14ac:dyDescent="0.25">
      <c r="A2489" s="4" t="str">
        <f>"CHOPE FROHEN FELD ULLR SCHWARZ - ESTOQUE TAP "</f>
        <v xml:space="preserve">CHOPE FROHEN FELD ULLR SCHWARZ - ESTOQUE TAP </v>
      </c>
      <c r="B2489" s="4" t="s">
        <v>275</v>
      </c>
      <c r="D2489" s="5">
        <v>31.38</v>
      </c>
      <c r="F2489" s="4" t="s">
        <v>59</v>
      </c>
      <c r="G2489" s="4" t="s">
        <v>1200</v>
      </c>
      <c r="H2489" s="6" t="s">
        <v>11</v>
      </c>
    </row>
    <row r="2490" spans="1:8" x14ac:dyDescent="0.25">
      <c r="A2490" s="4" t="str">
        <f>"CHOPE FROHEN FELD WEIZENFELD - ESTOQUE TAP "</f>
        <v xml:space="preserve">CHOPE FROHEN FELD WEIZENFELD - ESTOQUE TAP </v>
      </c>
      <c r="B2490" s="4" t="s">
        <v>275</v>
      </c>
      <c r="D2490" s="5">
        <v>24.06</v>
      </c>
      <c r="F2490" s="4" t="s">
        <v>59</v>
      </c>
      <c r="G2490" s="4" t="s">
        <v>1201</v>
      </c>
      <c r="H2490" s="6" t="s">
        <v>11</v>
      </c>
    </row>
    <row r="2491" spans="1:8" x14ac:dyDescent="0.25">
      <c r="A2491" s="4" t="str">
        <f>"CHOPE FROHENFELD HAHNEN - ESTOQUE TAP "</f>
        <v xml:space="preserve">CHOPE FROHENFELD HAHNEN - ESTOQUE TAP </v>
      </c>
      <c r="B2491" s="4" t="s">
        <v>275</v>
      </c>
      <c r="D2491" s="5">
        <v>25.31</v>
      </c>
      <c r="F2491" s="4" t="s">
        <v>59</v>
      </c>
      <c r="G2491" s="4" t="s">
        <v>1204</v>
      </c>
      <c r="H2491" s="6" t="s">
        <v>11</v>
      </c>
    </row>
    <row r="2492" spans="1:8" x14ac:dyDescent="0.25">
      <c r="A2492" s="4" t="s">
        <v>1209</v>
      </c>
      <c r="B2492" s="4" t="s">
        <v>275</v>
      </c>
      <c r="D2492" s="5">
        <v>16.32</v>
      </c>
      <c r="F2492" s="4" t="s">
        <v>59</v>
      </c>
      <c r="G2492" s="4" t="s">
        <v>1210</v>
      </c>
      <c r="H2492" s="6" t="s">
        <v>11</v>
      </c>
    </row>
    <row r="2493" spans="1:8" x14ac:dyDescent="0.25">
      <c r="A2493" s="4" t="s">
        <v>1211</v>
      </c>
      <c r="B2493" s="4" t="s">
        <v>275</v>
      </c>
      <c r="D2493" s="5">
        <v>747</v>
      </c>
      <c r="F2493" s="4" t="s">
        <v>59</v>
      </c>
      <c r="G2493" s="4" t="s">
        <v>1212</v>
      </c>
      <c r="H2493" s="6" t="s">
        <v>11</v>
      </c>
    </row>
    <row r="2494" spans="1:8" x14ac:dyDescent="0.25">
      <c r="A2494" s="4" t="s">
        <v>1213</v>
      </c>
      <c r="B2494" s="4" t="s">
        <v>275</v>
      </c>
      <c r="D2494" s="5">
        <v>21.91</v>
      </c>
      <c r="F2494" s="4" t="s">
        <v>59</v>
      </c>
      <c r="G2494" s="4" t="s">
        <v>1214</v>
      </c>
      <c r="H2494" s="6" t="s">
        <v>11</v>
      </c>
    </row>
    <row r="2495" spans="1:8" x14ac:dyDescent="0.25">
      <c r="A2495" s="4" t="str">
        <f>"CHOPE FUMACONICA SUPER COFFEE IPA - ESTOQUE TAP "</f>
        <v xml:space="preserve">CHOPE FUMACONICA SUPER COFFEE IPA - ESTOQUE TAP </v>
      </c>
      <c r="B2495" s="4" t="s">
        <v>275</v>
      </c>
      <c r="D2495" s="5">
        <v>23.66</v>
      </c>
      <c r="F2495" s="4" t="s">
        <v>59</v>
      </c>
      <c r="G2495" s="4" t="s">
        <v>1219</v>
      </c>
      <c r="H2495" s="6" t="s">
        <v>11</v>
      </c>
    </row>
    <row r="2496" spans="1:8" x14ac:dyDescent="0.25">
      <c r="A2496" s="4" t="str">
        <f>"CHOPE FUMACONICA SUPER KUNK - ESTOQUE TAP "</f>
        <v xml:space="preserve">CHOPE FUMACONICA SUPER KUNK - ESTOQUE TAP </v>
      </c>
      <c r="B2496" s="4" t="s">
        <v>275</v>
      </c>
      <c r="D2496" s="5">
        <v>25</v>
      </c>
      <c r="F2496" s="4" t="s">
        <v>59</v>
      </c>
      <c r="G2496" s="4" t="s">
        <v>1220</v>
      </c>
      <c r="H2496" s="6" t="s">
        <v>11</v>
      </c>
    </row>
    <row r="2497" spans="1:8" x14ac:dyDescent="0.25">
      <c r="A2497" s="4" t="s">
        <v>1221</v>
      </c>
      <c r="B2497" s="4" t="s">
        <v>275</v>
      </c>
      <c r="D2497" s="5">
        <v>15.97</v>
      </c>
      <c r="F2497" s="4" t="s">
        <v>59</v>
      </c>
      <c r="G2497" s="4" t="s">
        <v>1222</v>
      </c>
      <c r="H2497" s="6" t="s">
        <v>11</v>
      </c>
    </row>
    <row r="2498" spans="1:8" x14ac:dyDescent="0.25">
      <c r="A2498" s="4" t="str">
        <f>"CHOPE GARROTE DOUBLE IPA - ESTOQUE TAP "</f>
        <v xml:space="preserve">CHOPE GARROTE DOUBLE IPA - ESTOQUE TAP </v>
      </c>
      <c r="B2498" s="4" t="s">
        <v>275</v>
      </c>
      <c r="D2498" s="5">
        <v>15.11</v>
      </c>
      <c r="F2498" s="4" t="s">
        <v>59</v>
      </c>
      <c r="G2498" s="4" t="s">
        <v>1227</v>
      </c>
      <c r="H2498" s="6" t="s">
        <v>11</v>
      </c>
    </row>
    <row r="2499" spans="1:8" x14ac:dyDescent="0.25">
      <c r="A2499" s="4" t="s">
        <v>1231</v>
      </c>
      <c r="B2499" s="4" t="s">
        <v>275</v>
      </c>
      <c r="D2499" s="5">
        <v>18.5</v>
      </c>
      <c r="F2499" s="4" t="s">
        <v>59</v>
      </c>
      <c r="G2499" s="4" t="s">
        <v>1232</v>
      </c>
      <c r="H2499" s="6" t="s">
        <v>11</v>
      </c>
    </row>
    <row r="2500" spans="1:8" x14ac:dyDescent="0.25">
      <c r="A2500" s="4" t="str">
        <f>"CHOPE GO THE EXTRA MILE- ESTOQUE TAP "</f>
        <v xml:space="preserve">CHOPE GO THE EXTRA MILE- ESTOQUE TAP </v>
      </c>
      <c r="B2500" s="4" t="s">
        <v>275</v>
      </c>
      <c r="D2500" s="5">
        <v>22.83</v>
      </c>
      <c r="F2500" s="4" t="s">
        <v>59</v>
      </c>
      <c r="G2500" s="4" t="s">
        <v>1241</v>
      </c>
      <c r="H2500" s="6" t="s">
        <v>11</v>
      </c>
    </row>
    <row r="2501" spans="1:8" x14ac:dyDescent="0.25">
      <c r="A2501" s="4" t="s">
        <v>1246</v>
      </c>
      <c r="B2501" s="4" t="s">
        <v>275</v>
      </c>
      <c r="D2501" s="5">
        <v>17.899999999999999</v>
      </c>
      <c r="F2501" s="4" t="s">
        <v>59</v>
      </c>
      <c r="G2501" s="4" t="s">
        <v>1247</v>
      </c>
      <c r="H2501" s="6" t="s">
        <v>11</v>
      </c>
    </row>
    <row r="2502" spans="1:8" x14ac:dyDescent="0.25">
      <c r="A2502" s="4" t="str">
        <f>"CHOPE GOING TO CALIFORNIA - ESTOQUE "</f>
        <v xml:space="preserve">CHOPE GOING TO CALIFORNIA - ESTOQUE </v>
      </c>
      <c r="B2502" s="4" t="s">
        <v>275</v>
      </c>
      <c r="D2502" s="5">
        <v>20</v>
      </c>
      <c r="F2502" s="4" t="s">
        <v>59</v>
      </c>
      <c r="G2502" s="4" t="s">
        <v>1248</v>
      </c>
      <c r="H2502" s="6" t="s">
        <v>11</v>
      </c>
    </row>
    <row r="2503" spans="1:8" x14ac:dyDescent="0.25">
      <c r="A2503" s="4" t="s">
        <v>1253</v>
      </c>
      <c r="B2503" s="4" t="s">
        <v>275</v>
      </c>
      <c r="D2503" s="5">
        <v>21</v>
      </c>
      <c r="F2503" s="4" t="s">
        <v>59</v>
      </c>
      <c r="G2503" s="4" t="s">
        <v>1254</v>
      </c>
      <c r="H2503" s="6" t="s">
        <v>11</v>
      </c>
    </row>
    <row r="2504" spans="1:8" x14ac:dyDescent="0.25">
      <c r="A2504" s="4" t="str">
        <f>"CHOPE GOLDENER HIRSCH - ESTOQUE "</f>
        <v xml:space="preserve">CHOPE GOLDENER HIRSCH - ESTOQUE </v>
      </c>
      <c r="B2504" s="4" t="s">
        <v>275</v>
      </c>
      <c r="D2504" s="5">
        <v>26.15</v>
      </c>
      <c r="F2504" s="4" t="s">
        <v>59</v>
      </c>
      <c r="G2504" s="4" t="s">
        <v>1261</v>
      </c>
      <c r="H2504" s="6" t="s">
        <v>11</v>
      </c>
    </row>
    <row r="2505" spans="1:8" x14ac:dyDescent="0.25">
      <c r="A2505" s="4" t="s">
        <v>1262</v>
      </c>
      <c r="B2505" s="4" t="s">
        <v>275</v>
      </c>
      <c r="D2505" s="5">
        <v>21.5</v>
      </c>
      <c r="F2505" s="4" t="s">
        <v>59</v>
      </c>
      <c r="G2505" s="4" t="s">
        <v>1263</v>
      </c>
      <c r="H2505" s="6" t="s">
        <v>11</v>
      </c>
    </row>
    <row r="2506" spans="1:8" x14ac:dyDescent="0.25">
      <c r="A2506" s="4" t="s">
        <v>1268</v>
      </c>
      <c r="B2506" s="4" t="s">
        <v>275</v>
      </c>
      <c r="D2506" s="5">
        <v>18.96</v>
      </c>
      <c r="F2506" s="4" t="s">
        <v>59</v>
      </c>
      <c r="G2506" s="4" t="s">
        <v>1269</v>
      </c>
      <c r="H2506" s="6" t="s">
        <v>11</v>
      </c>
    </row>
    <row r="2507" spans="1:8" x14ac:dyDescent="0.25">
      <c r="A2507" s="4" t="s">
        <v>1270</v>
      </c>
      <c r="B2507" s="4" t="s">
        <v>275</v>
      </c>
      <c r="D2507" s="5">
        <v>25.41</v>
      </c>
      <c r="F2507" s="4" t="s">
        <v>59</v>
      </c>
      <c r="G2507" s="4" t="s">
        <v>1271</v>
      </c>
      <c r="H2507" s="6" t="s">
        <v>11</v>
      </c>
    </row>
    <row r="2508" spans="1:8" x14ac:dyDescent="0.25">
      <c r="A2508" s="4" t="str">
        <f>"CHOPE HAHAHAKA  - ESTOQUE TAP "</f>
        <v xml:space="preserve">CHOPE HAHAHAKA  - ESTOQUE TAP </v>
      </c>
      <c r="B2508" s="4" t="s">
        <v>275</v>
      </c>
      <c r="D2508" s="5">
        <v>23.9</v>
      </c>
      <c r="F2508" s="4" t="s">
        <v>59</v>
      </c>
      <c r="G2508" s="4" t="s">
        <v>1272</v>
      </c>
      <c r="H2508" s="6" t="s">
        <v>11</v>
      </c>
    </row>
    <row r="2509" spans="1:8" x14ac:dyDescent="0.25">
      <c r="A2509" s="4" t="str">
        <f>"CHOPE HANKS PARADISE- ESTOQUE TAP "</f>
        <v xml:space="preserve">CHOPE HANKS PARADISE- ESTOQUE TAP </v>
      </c>
      <c r="B2509" s="4" t="s">
        <v>275</v>
      </c>
      <c r="D2509" s="5">
        <v>23</v>
      </c>
      <c r="F2509" s="4" t="s">
        <v>59</v>
      </c>
      <c r="G2509" s="4" t="s">
        <v>1277</v>
      </c>
      <c r="H2509" s="6" t="s">
        <v>11</v>
      </c>
    </row>
    <row r="2510" spans="1:8" x14ac:dyDescent="0.25">
      <c r="A2510" s="4" t="s">
        <v>1278</v>
      </c>
      <c r="B2510" s="4" t="s">
        <v>275</v>
      </c>
      <c r="D2510" s="5">
        <v>15.15</v>
      </c>
      <c r="E2510" s="5">
        <v>270</v>
      </c>
      <c r="F2510" s="4" t="s">
        <v>59</v>
      </c>
      <c r="G2510" s="4" t="s">
        <v>1279</v>
      </c>
      <c r="H2510" s="6" t="s">
        <v>11</v>
      </c>
    </row>
    <row r="2511" spans="1:8" x14ac:dyDescent="0.25">
      <c r="A2511" s="4" t="s">
        <v>1284</v>
      </c>
      <c r="B2511" s="4" t="s">
        <v>275</v>
      </c>
      <c r="D2511" s="5">
        <v>24</v>
      </c>
      <c r="F2511" s="4" t="s">
        <v>59</v>
      </c>
      <c r="G2511" s="4" t="s">
        <v>1285</v>
      </c>
      <c r="H2511" s="6" t="s">
        <v>11</v>
      </c>
    </row>
    <row r="2512" spans="1:8" x14ac:dyDescent="0.25">
      <c r="A2512" s="4" t="s">
        <v>1286</v>
      </c>
      <c r="B2512" s="4" t="s">
        <v>275</v>
      </c>
      <c r="D2512" s="5">
        <v>21.83</v>
      </c>
      <c r="F2512" s="4" t="s">
        <v>59</v>
      </c>
      <c r="G2512" s="4" t="s">
        <v>1287</v>
      </c>
      <c r="H2512" s="6" t="s">
        <v>11</v>
      </c>
    </row>
    <row r="2513" spans="1:8" x14ac:dyDescent="0.25">
      <c r="A2513" s="4" t="s">
        <v>1290</v>
      </c>
      <c r="B2513" s="4" t="s">
        <v>275</v>
      </c>
      <c r="D2513" s="5">
        <v>13.95</v>
      </c>
      <c r="E2513" s="5">
        <v>60</v>
      </c>
      <c r="F2513" s="4" t="s">
        <v>59</v>
      </c>
      <c r="G2513" s="4" t="s">
        <v>1291</v>
      </c>
      <c r="H2513" s="6" t="s">
        <v>11</v>
      </c>
    </row>
    <row r="2514" spans="1:8" x14ac:dyDescent="0.25">
      <c r="A2514" s="4" t="s">
        <v>1303</v>
      </c>
      <c r="B2514" s="4" t="s">
        <v>275</v>
      </c>
      <c r="D2514" s="5">
        <v>19</v>
      </c>
      <c r="F2514" s="4" t="s">
        <v>59</v>
      </c>
      <c r="G2514" s="4" t="s">
        <v>1304</v>
      </c>
      <c r="H2514" s="6" t="s">
        <v>11</v>
      </c>
    </row>
    <row r="2515" spans="1:8" x14ac:dyDescent="0.25">
      <c r="A2515" s="4" t="s">
        <v>1305</v>
      </c>
      <c r="B2515" s="4" t="s">
        <v>275</v>
      </c>
      <c r="D2515" s="5">
        <v>19.899999999999999</v>
      </c>
      <c r="F2515" s="4" t="s">
        <v>59</v>
      </c>
      <c r="G2515" s="4" t="s">
        <v>1306</v>
      </c>
      <c r="H2515" s="6" t="s">
        <v>11</v>
      </c>
    </row>
    <row r="2516" spans="1:8" x14ac:dyDescent="0.25">
      <c r="A2516" s="4" t="str">
        <f>"CHOPE HEY HOP   - ESTOQUE "</f>
        <v xml:space="preserve">CHOPE HEY HOP   - ESTOQUE </v>
      </c>
      <c r="B2516" s="4" t="s">
        <v>275</v>
      </c>
      <c r="D2516" s="5">
        <v>17.559999999999999</v>
      </c>
      <c r="F2516" s="4" t="s">
        <v>59</v>
      </c>
      <c r="G2516" s="4" t="s">
        <v>1314</v>
      </c>
      <c r="H2516" s="6" t="s">
        <v>11</v>
      </c>
    </row>
    <row r="2517" spans="1:8" x14ac:dyDescent="0.25">
      <c r="A2517" s="4" t="s">
        <v>1322</v>
      </c>
      <c r="B2517" s="4" t="s">
        <v>275</v>
      </c>
      <c r="D2517" s="5">
        <v>16.5</v>
      </c>
      <c r="F2517" s="4" t="s">
        <v>59</v>
      </c>
      <c r="G2517" s="4" t="s">
        <v>1323</v>
      </c>
      <c r="H2517" s="6" t="s">
        <v>11</v>
      </c>
    </row>
    <row r="2518" spans="1:8" x14ac:dyDescent="0.25">
      <c r="A2518" s="4" t="str">
        <f>"CHOPE HOPN ROAD  - ESTOQUE TAP "</f>
        <v xml:space="preserve">CHOPE HOPN ROAD  - ESTOQUE TAP </v>
      </c>
      <c r="B2518" s="4" t="s">
        <v>275</v>
      </c>
      <c r="D2518" s="5">
        <v>22.9</v>
      </c>
      <c r="F2518" s="4" t="s">
        <v>59</v>
      </c>
      <c r="G2518" s="4" t="s">
        <v>1328</v>
      </c>
      <c r="H2518" s="6" t="s">
        <v>11</v>
      </c>
    </row>
    <row r="2519" spans="1:8" x14ac:dyDescent="0.25">
      <c r="A2519" s="4" t="s">
        <v>1333</v>
      </c>
      <c r="B2519" s="4" t="s">
        <v>275</v>
      </c>
      <c r="D2519" s="5">
        <v>25</v>
      </c>
      <c r="F2519" s="4" t="s">
        <v>59</v>
      </c>
      <c r="G2519" s="4" t="s">
        <v>1334</v>
      </c>
      <c r="H2519" s="6" t="s">
        <v>11</v>
      </c>
    </row>
    <row r="2520" spans="1:8" x14ac:dyDescent="0.25">
      <c r="A2520" s="4" t="s">
        <v>1339</v>
      </c>
      <c r="B2520" s="4" t="s">
        <v>275</v>
      </c>
      <c r="D2520" s="5">
        <v>19.399999999999999</v>
      </c>
      <c r="F2520" s="4" t="s">
        <v>59</v>
      </c>
      <c r="G2520" s="4" t="s">
        <v>1340</v>
      </c>
      <c r="H2520" s="6" t="s">
        <v>11</v>
      </c>
    </row>
    <row r="2521" spans="1:8" x14ac:dyDescent="0.25">
      <c r="A2521" s="4" t="str">
        <f>"CHOPE IGNORUS - CANIS MAJORIS  - ESTOQUE "</f>
        <v xml:space="preserve">CHOPE IGNORUS - CANIS MAJORIS  - ESTOQUE </v>
      </c>
      <c r="B2521" s="4" t="s">
        <v>275</v>
      </c>
      <c r="D2521" s="5">
        <v>22.9</v>
      </c>
      <c r="F2521" s="4" t="s">
        <v>9</v>
      </c>
      <c r="G2521" s="4" t="s">
        <v>1344</v>
      </c>
      <c r="H2521" s="6" t="s">
        <v>11</v>
      </c>
    </row>
    <row r="2522" spans="1:8" x14ac:dyDescent="0.25">
      <c r="A2522" s="4" t="s">
        <v>1349</v>
      </c>
      <c r="B2522" s="4" t="s">
        <v>275</v>
      </c>
      <c r="D2522" s="5">
        <v>16.899999999999999</v>
      </c>
      <c r="F2522" s="4" t="s">
        <v>9</v>
      </c>
      <c r="G2522" s="4" t="s">
        <v>1350</v>
      </c>
      <c r="H2522" s="6" t="s">
        <v>11</v>
      </c>
    </row>
    <row r="2523" spans="1:8" x14ac:dyDescent="0.25">
      <c r="A2523" s="4" t="str">
        <f>"CHOPE IGNORUS - TINHOSA - ESTOQUE "</f>
        <v xml:space="preserve">CHOPE IGNORUS - TINHOSA - ESTOQUE </v>
      </c>
      <c r="B2523" s="4" t="s">
        <v>275</v>
      </c>
      <c r="D2523" s="5">
        <v>21.9</v>
      </c>
      <c r="F2523" s="4" t="s">
        <v>9</v>
      </c>
      <c r="G2523" s="4" t="s">
        <v>1357</v>
      </c>
      <c r="H2523" s="6" t="s">
        <v>11</v>
      </c>
    </row>
    <row r="2524" spans="1:8" x14ac:dyDescent="0.25">
      <c r="A2524" s="4" t="str">
        <f>"CHOPE IGNORUS - TROPICAL THUNDER - ESTOQUE "</f>
        <v xml:space="preserve">CHOPE IGNORUS - TROPICAL THUNDER - ESTOQUE </v>
      </c>
      <c r="B2524" s="4" t="s">
        <v>275</v>
      </c>
      <c r="D2524" s="5">
        <v>25.11</v>
      </c>
      <c r="F2524" s="4" t="s">
        <v>9</v>
      </c>
      <c r="G2524" s="4" t="s">
        <v>1361</v>
      </c>
      <c r="H2524" s="6" t="s">
        <v>11</v>
      </c>
    </row>
    <row r="2525" spans="1:8" x14ac:dyDescent="0.25">
      <c r="A2525" s="4" t="s">
        <v>1365</v>
      </c>
      <c r="B2525" s="4" t="s">
        <v>275</v>
      </c>
      <c r="D2525" s="5">
        <v>29.9</v>
      </c>
      <c r="F2525" s="4" t="s">
        <v>9</v>
      </c>
      <c r="G2525" s="4" t="s">
        <v>1366</v>
      </c>
      <c r="H2525" s="6" t="s">
        <v>11</v>
      </c>
    </row>
    <row r="2526" spans="1:8" x14ac:dyDescent="0.25">
      <c r="A2526" s="4" t="s">
        <v>1374</v>
      </c>
      <c r="B2526" s="4" t="s">
        <v>275</v>
      </c>
      <c r="D2526" s="5">
        <v>26.9</v>
      </c>
      <c r="F2526" s="4" t="s">
        <v>59</v>
      </c>
      <c r="G2526" s="4" t="s">
        <v>1375</v>
      </c>
      <c r="H2526" s="6" t="s">
        <v>11</v>
      </c>
    </row>
    <row r="2527" spans="1:8" x14ac:dyDescent="0.25">
      <c r="A2527" s="4" t="s">
        <v>1376</v>
      </c>
      <c r="B2527" s="4" t="s">
        <v>275</v>
      </c>
      <c r="D2527" s="5">
        <v>22.5</v>
      </c>
      <c r="F2527" s="4" t="s">
        <v>59</v>
      </c>
      <c r="G2527" s="4" t="s">
        <v>1377</v>
      </c>
      <c r="H2527" s="6" t="s">
        <v>11</v>
      </c>
    </row>
    <row r="2528" spans="1:8" x14ac:dyDescent="0.25">
      <c r="A2528" s="4" t="s">
        <v>1385</v>
      </c>
      <c r="B2528" s="4" t="s">
        <v>275</v>
      </c>
      <c r="D2528" s="5">
        <v>23.36</v>
      </c>
      <c r="F2528" s="4" t="s">
        <v>59</v>
      </c>
      <c r="G2528" s="4" t="s">
        <v>1386</v>
      </c>
      <c r="H2528" s="6" t="s">
        <v>11</v>
      </c>
    </row>
    <row r="2529" spans="1:8" x14ac:dyDescent="0.25">
      <c r="A2529" s="4" t="s">
        <v>1391</v>
      </c>
      <c r="B2529" s="4" t="s">
        <v>275</v>
      </c>
      <c r="D2529" s="5">
        <v>3</v>
      </c>
      <c r="F2529" s="4" t="s">
        <v>59</v>
      </c>
      <c r="G2529" s="4" t="s">
        <v>1392</v>
      </c>
      <c r="H2529" s="6" t="s">
        <v>11</v>
      </c>
    </row>
    <row r="2530" spans="1:8" x14ac:dyDescent="0.25">
      <c r="A2530" s="4" t="str">
        <f>"CHOPE IMPERIAL RED ALE  - ESTOQUE TAP "</f>
        <v xml:space="preserve">CHOPE IMPERIAL RED ALE  - ESTOQUE TAP </v>
      </c>
      <c r="B2530" s="4" t="s">
        <v>275</v>
      </c>
      <c r="D2530" s="5">
        <v>17</v>
      </c>
      <c r="F2530" s="4" t="s">
        <v>59</v>
      </c>
      <c r="G2530" s="4" t="s">
        <v>1398</v>
      </c>
      <c r="H2530" s="6" t="s">
        <v>11</v>
      </c>
    </row>
    <row r="2531" spans="1:8" x14ac:dyDescent="0.25">
      <c r="A2531" s="4" t="str">
        <f>"CHOPE IMPERIAL SOUR UVA   - ESTOQUE "</f>
        <v xml:space="preserve">CHOPE IMPERIAL SOUR UVA   - ESTOQUE </v>
      </c>
      <c r="B2531" s="4" t="s">
        <v>275</v>
      </c>
      <c r="D2531" s="5">
        <v>20.5</v>
      </c>
      <c r="F2531" s="4" t="s">
        <v>59</v>
      </c>
      <c r="G2531" s="4" t="s">
        <v>1406</v>
      </c>
      <c r="H2531" s="6" t="s">
        <v>11</v>
      </c>
    </row>
    <row r="2532" spans="1:8" x14ac:dyDescent="0.25">
      <c r="A2532" s="4" t="str">
        <f>"CHOPE INSANNISTOCK- ESTOQUE TAP "</f>
        <v xml:space="preserve">CHOPE INSANNISTOCK- ESTOQUE TAP </v>
      </c>
      <c r="B2532" s="4" t="s">
        <v>275</v>
      </c>
      <c r="D2532" s="5">
        <v>15.09</v>
      </c>
      <c r="F2532" s="4" t="s">
        <v>59</v>
      </c>
      <c r="G2532" s="4" t="s">
        <v>1412</v>
      </c>
      <c r="H2532" s="6" t="s">
        <v>11</v>
      </c>
    </row>
    <row r="2533" spans="1:8" x14ac:dyDescent="0.25">
      <c r="A2533" s="4" t="str">
        <f>"CHOPE INTERCEPTOR - ESTOQUE - "</f>
        <v xml:space="preserve">CHOPE INTERCEPTOR - ESTOQUE - </v>
      </c>
      <c r="B2533" s="4" t="s">
        <v>275</v>
      </c>
      <c r="D2533" s="5">
        <v>15.16</v>
      </c>
      <c r="F2533" s="4" t="s">
        <v>59</v>
      </c>
      <c r="G2533" s="4" t="s">
        <v>1416</v>
      </c>
      <c r="H2533" s="6" t="s">
        <v>11</v>
      </c>
    </row>
    <row r="2534" spans="1:8" x14ac:dyDescent="0.25">
      <c r="A2534" s="4" t="str">
        <f>"CHOPE INTI- ESTOQUE "</f>
        <v xml:space="preserve">CHOPE INTI- ESTOQUE </v>
      </c>
      <c r="B2534" s="4" t="s">
        <v>275</v>
      </c>
      <c r="D2534" s="5">
        <v>9.64</v>
      </c>
      <c r="F2534" s="4" t="s">
        <v>59</v>
      </c>
      <c r="G2534" s="4" t="s">
        <v>1419</v>
      </c>
      <c r="H2534" s="6" t="s">
        <v>11</v>
      </c>
    </row>
    <row r="2535" spans="1:8" x14ac:dyDescent="0.25">
      <c r="A2535" s="4" t="str">
        <f>"CHOPE IRADA DOUBLE IPA - ESTOQUE TAP "</f>
        <v xml:space="preserve">CHOPE IRADA DOUBLE IPA - ESTOQUE TAP </v>
      </c>
      <c r="B2535" s="4" t="s">
        <v>275</v>
      </c>
      <c r="D2535" s="5">
        <v>23.5</v>
      </c>
      <c r="F2535" s="4" t="s">
        <v>59</v>
      </c>
      <c r="G2535" s="4" t="s">
        <v>1420</v>
      </c>
      <c r="H2535" s="6" t="s">
        <v>11</v>
      </c>
    </row>
    <row r="2536" spans="1:8" x14ac:dyDescent="0.25">
      <c r="A2536" s="4" t="str">
        <f>"CHOPE IRONICA AUSSIE - ESTOQUE TAP "</f>
        <v xml:space="preserve">CHOPE IRONICA AUSSIE - ESTOQUE TAP </v>
      </c>
      <c r="B2536" s="4" t="s">
        <v>275</v>
      </c>
      <c r="D2536" s="5">
        <v>13.9</v>
      </c>
      <c r="F2536" s="4" t="s">
        <v>59</v>
      </c>
      <c r="G2536" s="4" t="s">
        <v>1429</v>
      </c>
      <c r="H2536" s="6" t="s">
        <v>11</v>
      </c>
    </row>
    <row r="2537" spans="1:8" x14ac:dyDescent="0.25">
      <c r="A2537" s="4" t="s">
        <v>1434</v>
      </c>
      <c r="B2537" s="4" t="s">
        <v>275</v>
      </c>
      <c r="D2537" s="5">
        <v>18.899999999999999</v>
      </c>
      <c r="F2537" s="4" t="s">
        <v>59</v>
      </c>
      <c r="G2537" s="4" t="s">
        <v>1435</v>
      </c>
      <c r="H2537" s="6" t="s">
        <v>11</v>
      </c>
    </row>
    <row r="2538" spans="1:8" x14ac:dyDescent="0.25">
      <c r="A2538" s="4" t="str">
        <f>"CHOPE ISSIE - ESTOQUE TAP  "</f>
        <v xml:space="preserve">CHOPE ISSIE - ESTOQUE TAP  </v>
      </c>
      <c r="B2538" s="4" t="s">
        <v>275</v>
      </c>
      <c r="D2538" s="5">
        <v>18.5</v>
      </c>
      <c r="F2538" s="4" t="s">
        <v>59</v>
      </c>
      <c r="G2538" s="4" t="s">
        <v>1437</v>
      </c>
      <c r="H2538" s="6" t="s">
        <v>11</v>
      </c>
    </row>
    <row r="2539" spans="1:8" x14ac:dyDescent="0.25">
      <c r="A2539" s="4" t="str">
        <f>"CHOPE JOY BRAIN BREEZE SOUR - ESTOQUE TAP "</f>
        <v xml:space="preserve">CHOPE JOY BRAIN BREEZE SOUR - ESTOQUE TAP </v>
      </c>
      <c r="B2539" s="4" t="s">
        <v>275</v>
      </c>
      <c r="D2539" s="5">
        <v>18</v>
      </c>
      <c r="F2539" s="4" t="s">
        <v>59</v>
      </c>
      <c r="G2539" s="4" t="s">
        <v>1473</v>
      </c>
      <c r="H2539" s="6" t="s">
        <v>11</v>
      </c>
    </row>
    <row r="2540" spans="1:8" x14ac:dyDescent="0.25">
      <c r="A2540" s="4" t="str">
        <f>"CHOPE JOY COFFEE ME UP NEIPA - ESTOQUE TAP "</f>
        <v xml:space="preserve">CHOPE JOY COFFEE ME UP NEIPA - ESTOQUE TAP </v>
      </c>
      <c r="B2540" s="4" t="s">
        <v>275</v>
      </c>
      <c r="D2540" s="5">
        <v>23.66</v>
      </c>
      <c r="F2540" s="4" t="s">
        <v>59</v>
      </c>
      <c r="G2540" s="4" t="s">
        <v>1477</v>
      </c>
      <c r="H2540" s="6" t="s">
        <v>11</v>
      </c>
    </row>
    <row r="2541" spans="1:8" x14ac:dyDescent="0.25">
      <c r="A2541" s="4" t="s">
        <v>1481</v>
      </c>
      <c r="B2541" s="4" t="s">
        <v>275</v>
      </c>
      <c r="D2541" s="5">
        <v>22.86</v>
      </c>
      <c r="F2541" s="4" t="s">
        <v>59</v>
      </c>
      <c r="G2541" s="4" t="s">
        <v>1482</v>
      </c>
      <c r="H2541" s="6" t="s">
        <v>11</v>
      </c>
    </row>
    <row r="2542" spans="1:8" x14ac:dyDescent="0.25">
      <c r="A2542" s="4" t="str">
        <f>"CHOPE JOY PROJECT BACK TO THE OLD JOY - ESTOQUE TAP "</f>
        <v xml:space="preserve">CHOPE JOY PROJECT BACK TO THE OLD JOY - ESTOQUE TAP </v>
      </c>
      <c r="B2542" s="4" t="s">
        <v>275</v>
      </c>
      <c r="D2542" s="5">
        <v>25</v>
      </c>
      <c r="F2542" s="4" t="s">
        <v>59</v>
      </c>
      <c r="G2542" s="4" t="s">
        <v>1487</v>
      </c>
      <c r="H2542" s="6" t="s">
        <v>11</v>
      </c>
    </row>
    <row r="2543" spans="1:8" x14ac:dyDescent="0.25">
      <c r="A2543" s="4" t="str">
        <f>"CHOPE JOY RIS BANOFFEE - ESTOQUE TAP "</f>
        <v xml:space="preserve">CHOPE JOY RIS BANOFFEE - ESTOQUE TAP </v>
      </c>
      <c r="B2543" s="4" t="s">
        <v>275</v>
      </c>
      <c r="D2543" s="5">
        <v>30</v>
      </c>
      <c r="F2543" s="4" t="s">
        <v>59</v>
      </c>
      <c r="G2543" s="4" t="s">
        <v>1492</v>
      </c>
      <c r="H2543" s="6" t="s">
        <v>11</v>
      </c>
    </row>
    <row r="2544" spans="1:8" x14ac:dyDescent="0.25">
      <c r="A2544" s="4" t="str">
        <f>"CHOPE JOY SITUS SIMCOE DOUBLE IPA - ESTOQUE TAP "</f>
        <v xml:space="preserve">CHOPE JOY SITUS SIMCOE DOUBLE IPA - ESTOQUE TAP </v>
      </c>
      <c r="B2544" s="4" t="s">
        <v>275</v>
      </c>
      <c r="D2544" s="5">
        <v>19</v>
      </c>
      <c r="F2544" s="4" t="s">
        <v>59</v>
      </c>
      <c r="G2544" s="4" t="s">
        <v>1499</v>
      </c>
      <c r="H2544" s="6" t="s">
        <v>11</v>
      </c>
    </row>
    <row r="2545" spans="1:8" x14ac:dyDescent="0.25">
      <c r="A2545" s="4" t="str">
        <f>"CHOPE JOY WORKING CLASS HERO - ESTOQUE TAP "</f>
        <v xml:space="preserve">CHOPE JOY WORKING CLASS HERO - ESTOQUE TAP </v>
      </c>
      <c r="B2545" s="4" t="s">
        <v>275</v>
      </c>
      <c r="D2545" s="5">
        <v>14</v>
      </c>
      <c r="F2545" s="4" t="s">
        <v>59</v>
      </c>
      <c r="G2545" s="4" t="s">
        <v>1506</v>
      </c>
      <c r="H2545" s="6" t="s">
        <v>11</v>
      </c>
    </row>
    <row r="2546" spans="1:8" x14ac:dyDescent="0.25">
      <c r="A2546" s="4" t="s">
        <v>1513</v>
      </c>
      <c r="B2546" s="4" t="s">
        <v>275</v>
      </c>
      <c r="D2546" s="5">
        <v>17.079999999999998</v>
      </c>
      <c r="F2546" s="4" t="s">
        <v>59</v>
      </c>
      <c r="G2546" s="4" t="s">
        <v>1514</v>
      </c>
      <c r="H2546" s="6" t="s">
        <v>11</v>
      </c>
    </row>
    <row r="2547" spans="1:8" x14ac:dyDescent="0.25">
      <c r="A2547" s="4" t="str">
        <f>"CHOPE JUNGLE BREEZE- ESTOQUE TAP "</f>
        <v xml:space="preserve">CHOPE JUNGLE BREEZE- ESTOQUE TAP </v>
      </c>
      <c r="B2547" s="4" t="s">
        <v>275</v>
      </c>
      <c r="D2547" s="5">
        <v>20</v>
      </c>
      <c r="F2547" s="4" t="s">
        <v>59</v>
      </c>
      <c r="G2547" s="4" t="s">
        <v>1522</v>
      </c>
      <c r="H2547" s="6" t="s">
        <v>11</v>
      </c>
    </row>
    <row r="2548" spans="1:8" x14ac:dyDescent="0.25">
      <c r="A2548" s="4" t="s">
        <v>1523</v>
      </c>
      <c r="B2548" s="4" t="s">
        <v>275</v>
      </c>
      <c r="D2548" s="5">
        <v>23.9</v>
      </c>
      <c r="F2548" s="4" t="s">
        <v>59</v>
      </c>
      <c r="G2548" s="4" t="s">
        <v>1524</v>
      </c>
      <c r="H2548" s="6" t="s">
        <v>11</v>
      </c>
    </row>
    <row r="2549" spans="1:8" x14ac:dyDescent="0.25">
      <c r="A2549" s="4" t="str">
        <f>"CHOPE KAVALLA APOLLO BLONDE ALE - ESTOQUE TAP "</f>
        <v xml:space="preserve">CHOPE KAVALLA APOLLO BLONDE ALE - ESTOQUE TAP </v>
      </c>
      <c r="B2549" s="4" t="s">
        <v>275</v>
      </c>
      <c r="D2549" s="5">
        <v>18</v>
      </c>
      <c r="F2549" s="4" t="s">
        <v>59</v>
      </c>
      <c r="G2549" s="4" t="s">
        <v>1528</v>
      </c>
      <c r="H2549" s="6" t="s">
        <v>11</v>
      </c>
    </row>
    <row r="2550" spans="1:8" x14ac:dyDescent="0.25">
      <c r="A2550" s="4" t="s">
        <v>1534</v>
      </c>
      <c r="B2550" s="4" t="s">
        <v>275</v>
      </c>
      <c r="F2550" s="4" t="s">
        <v>59</v>
      </c>
      <c r="G2550" s="4" t="s">
        <v>1535</v>
      </c>
      <c r="H2550" s="6" t="s">
        <v>11</v>
      </c>
    </row>
    <row r="2551" spans="1:8" x14ac:dyDescent="0.25">
      <c r="A2551" s="4" t="s">
        <v>1536</v>
      </c>
      <c r="B2551" s="4" t="s">
        <v>275</v>
      </c>
      <c r="D2551" s="5">
        <v>16</v>
      </c>
      <c r="F2551" s="4" t="s">
        <v>59</v>
      </c>
      <c r="G2551" s="4" t="s">
        <v>1537</v>
      </c>
      <c r="H2551" s="6" t="s">
        <v>11</v>
      </c>
    </row>
    <row r="2552" spans="1:8" x14ac:dyDescent="0.25">
      <c r="A2552" s="4" t="str">
        <f>"CHOPE KOKOT IPA - ESTOQUE - TAP "</f>
        <v xml:space="preserve">CHOPE KOKOT IPA - ESTOQUE - TAP </v>
      </c>
      <c r="B2552" s="4" t="s">
        <v>275</v>
      </c>
      <c r="D2552" s="5">
        <v>17</v>
      </c>
      <c r="F2552" s="4" t="s">
        <v>59</v>
      </c>
      <c r="G2552" s="4" t="s">
        <v>1542</v>
      </c>
      <c r="H2552" s="6" t="s">
        <v>11</v>
      </c>
    </row>
    <row r="2553" spans="1:8" x14ac:dyDescent="0.25">
      <c r="A2553" s="4" t="s">
        <v>1554</v>
      </c>
      <c r="B2553" s="4" t="s">
        <v>275</v>
      </c>
      <c r="D2553" s="5">
        <v>21.38</v>
      </c>
      <c r="F2553" s="4" t="s">
        <v>59</v>
      </c>
      <c r="G2553" s="4" t="s">
        <v>1555</v>
      </c>
      <c r="H2553" s="6" t="s">
        <v>11</v>
      </c>
    </row>
    <row r="2554" spans="1:8" x14ac:dyDescent="0.25">
      <c r="A2554" s="4" t="s">
        <v>1562</v>
      </c>
      <c r="B2554" s="4" t="s">
        <v>275</v>
      </c>
      <c r="D2554" s="5">
        <v>10.210000000000001</v>
      </c>
      <c r="F2554" s="4" t="s">
        <v>59</v>
      </c>
      <c r="G2554" s="4" t="s">
        <v>1563</v>
      </c>
      <c r="H2554" s="6" t="s">
        <v>11</v>
      </c>
    </row>
    <row r="2555" spans="1:8" x14ac:dyDescent="0.25">
      <c r="A2555" s="4" t="str">
        <f>"CHOPE LE CHAUND AMER   - ESTOQUE "</f>
        <v xml:space="preserve">CHOPE LE CHAUND AMER   - ESTOQUE </v>
      </c>
      <c r="B2555" s="4" t="s">
        <v>275</v>
      </c>
      <c r="D2555" s="5">
        <v>18</v>
      </c>
      <c r="F2555" s="4" t="s">
        <v>59</v>
      </c>
      <c r="G2555" s="4" t="s">
        <v>1567</v>
      </c>
      <c r="H2555" s="6" t="s">
        <v>11</v>
      </c>
    </row>
    <row r="2556" spans="1:8" x14ac:dyDescent="0.25">
      <c r="A2556" s="4" t="s">
        <v>1568</v>
      </c>
      <c r="B2556" s="4" t="s">
        <v>275</v>
      </c>
      <c r="D2556" s="5">
        <v>21.9</v>
      </c>
      <c r="F2556" s="4" t="s">
        <v>59</v>
      </c>
      <c r="G2556" s="4" t="s">
        <v>1569</v>
      </c>
      <c r="H2556" s="6" t="s">
        <v>11</v>
      </c>
    </row>
    <row r="2557" spans="1:8" x14ac:dyDescent="0.25">
      <c r="A2557" s="4" t="str">
        <f>"CHOPE LENNON IN THE SKY WITH - ESTOQUE TAP "</f>
        <v xml:space="preserve">CHOPE LENNON IN THE SKY WITH - ESTOQUE TAP </v>
      </c>
      <c r="B2557" s="4" t="s">
        <v>275</v>
      </c>
      <c r="D2557" s="5">
        <v>25.25</v>
      </c>
      <c r="F2557" s="4" t="s">
        <v>59</v>
      </c>
      <c r="G2557" s="4" t="s">
        <v>1570</v>
      </c>
      <c r="H2557" s="6" t="s">
        <v>11</v>
      </c>
    </row>
    <row r="2558" spans="1:8" x14ac:dyDescent="0.25">
      <c r="A2558" s="4" t="s">
        <v>1574</v>
      </c>
      <c r="B2558" s="4" t="s">
        <v>275</v>
      </c>
      <c r="D2558" s="5">
        <v>20</v>
      </c>
      <c r="F2558" s="4" t="s">
        <v>59</v>
      </c>
      <c r="G2558" s="4" t="s">
        <v>1575</v>
      </c>
      <c r="H2558" s="6" t="s">
        <v>11</v>
      </c>
    </row>
    <row r="2559" spans="1:8" x14ac:dyDescent="0.25">
      <c r="A2559" s="4" t="str">
        <f>"CHOPE LOBOS MARIJUANA IPA - ESTOQUE "</f>
        <v xml:space="preserve">CHOPE LOBOS MARIJUANA IPA - ESTOQUE </v>
      </c>
      <c r="B2559" s="4" t="s">
        <v>275</v>
      </c>
      <c r="D2559" s="5">
        <v>21</v>
      </c>
      <c r="F2559" s="4" t="s">
        <v>59</v>
      </c>
      <c r="G2559" s="4" t="s">
        <v>1576</v>
      </c>
      <c r="H2559" s="6" t="s">
        <v>11</v>
      </c>
    </row>
    <row r="2560" spans="1:8" x14ac:dyDescent="0.25">
      <c r="A2560" s="4" t="str">
        <f>"CHOPE LOBOS SCOTCH ALE - ESTOQUE TAP "</f>
        <v xml:space="preserve">CHOPE LOBOS SCOTCH ALE - ESTOQUE TAP </v>
      </c>
      <c r="B2560" s="4" t="s">
        <v>275</v>
      </c>
      <c r="D2560" s="5">
        <v>19</v>
      </c>
      <c r="F2560" s="4" t="s">
        <v>59</v>
      </c>
      <c r="G2560" s="4" t="s">
        <v>1583</v>
      </c>
      <c r="H2560" s="6" t="s">
        <v>11</v>
      </c>
    </row>
    <row r="2561" spans="1:8" x14ac:dyDescent="0.25">
      <c r="A2561" s="4" t="str">
        <f>"CHOPE LOBOS SOUR CAMU CAMU - ESTOQUE TAP "</f>
        <v xml:space="preserve">CHOPE LOBOS SOUR CAMU CAMU - ESTOQUE TAP </v>
      </c>
      <c r="B2561" s="4" t="s">
        <v>275</v>
      </c>
      <c r="D2561" s="5">
        <v>19.899999999999999</v>
      </c>
      <c r="F2561" s="4" t="s">
        <v>59</v>
      </c>
      <c r="G2561" s="4" t="s">
        <v>1584</v>
      </c>
      <c r="H2561" s="6" t="s">
        <v>11</v>
      </c>
    </row>
    <row r="2562" spans="1:8" x14ac:dyDescent="0.25">
      <c r="A2562" s="4" t="s">
        <v>1587</v>
      </c>
      <c r="B2562" s="4" t="s">
        <v>275</v>
      </c>
      <c r="D2562" s="5">
        <v>22.5</v>
      </c>
      <c r="F2562" s="4" t="s">
        <v>59</v>
      </c>
      <c r="G2562" s="4" t="s">
        <v>1588</v>
      </c>
      <c r="H2562" s="6" t="s">
        <v>11</v>
      </c>
    </row>
    <row r="2563" spans="1:8" x14ac:dyDescent="0.25">
      <c r="A2563" s="4" t="str">
        <f>"CHOPE LUCY IRISH RED ALE - ESTOQUE - "</f>
        <v xml:space="preserve">CHOPE LUCY IRISH RED ALE - ESTOQUE - </v>
      </c>
      <c r="B2563" s="4" t="s">
        <v>275</v>
      </c>
      <c r="D2563" s="5">
        <v>1.65</v>
      </c>
      <c r="E2563" s="5">
        <v>150</v>
      </c>
      <c r="F2563" s="4" t="s">
        <v>59</v>
      </c>
      <c r="G2563" s="4" t="s">
        <v>1595</v>
      </c>
      <c r="H2563" s="6" t="s">
        <v>11</v>
      </c>
    </row>
    <row r="2564" spans="1:8" x14ac:dyDescent="0.25">
      <c r="A2564" s="4" t="str">
        <f>"CHOPE MAD JACK - ESTOQUE "</f>
        <v xml:space="preserve">CHOPE MAD JACK - ESTOQUE </v>
      </c>
      <c r="B2564" s="4" t="s">
        <v>275</v>
      </c>
      <c r="D2564" s="5">
        <v>19</v>
      </c>
      <c r="F2564" s="4" t="s">
        <v>59</v>
      </c>
      <c r="G2564" s="4" t="s">
        <v>1596</v>
      </c>
      <c r="H2564" s="6" t="s">
        <v>11</v>
      </c>
    </row>
    <row r="2565" spans="1:8" x14ac:dyDescent="0.25">
      <c r="A2565" s="4" t="s">
        <v>1600</v>
      </c>
      <c r="B2565" s="4" t="s">
        <v>275</v>
      </c>
      <c r="D2565" s="5">
        <v>23.36</v>
      </c>
      <c r="F2565" s="4" t="s">
        <v>59</v>
      </c>
      <c r="G2565" s="4" t="s">
        <v>1601</v>
      </c>
      <c r="H2565" s="6" t="s">
        <v>11</v>
      </c>
    </row>
    <row r="2566" spans="1:8" x14ac:dyDescent="0.25">
      <c r="A2566" s="4" t="str">
        <f>"CHOPE MAMBA APA - ESTOQUE TAP "</f>
        <v xml:space="preserve">CHOPE MAMBA APA - ESTOQUE TAP </v>
      </c>
      <c r="B2566" s="4" t="s">
        <v>275</v>
      </c>
      <c r="D2566" s="5">
        <v>17.899999999999999</v>
      </c>
      <c r="F2566" s="4" t="s">
        <v>59</v>
      </c>
      <c r="G2566" s="4" t="s">
        <v>1611</v>
      </c>
      <c r="H2566" s="6" t="s">
        <v>11</v>
      </c>
    </row>
    <row r="2567" spans="1:8" x14ac:dyDescent="0.25">
      <c r="A2567" s="4" t="s">
        <v>1612</v>
      </c>
      <c r="B2567" s="4" t="s">
        <v>275</v>
      </c>
      <c r="D2567" s="5">
        <v>18.5</v>
      </c>
      <c r="F2567" s="4" t="s">
        <v>59</v>
      </c>
      <c r="G2567" s="4" t="s">
        <v>1613</v>
      </c>
      <c r="H2567" s="6" t="s">
        <v>11</v>
      </c>
    </row>
    <row r="2568" spans="1:8" x14ac:dyDescent="0.25">
      <c r="A2568" s="4" t="s">
        <v>1618</v>
      </c>
      <c r="B2568" s="4" t="s">
        <v>275</v>
      </c>
      <c r="F2568" s="4" t="s">
        <v>59</v>
      </c>
      <c r="G2568" s="4" t="s">
        <v>1619</v>
      </c>
      <c r="H2568" s="6" t="s">
        <v>11</v>
      </c>
    </row>
    <row r="2569" spans="1:8" x14ac:dyDescent="0.25">
      <c r="A2569" s="4" t="str">
        <f>"CHOPE MANOTAÇO SOUR - ESTOQUE TAP "</f>
        <v xml:space="preserve">CHOPE MANOTAÇO SOUR - ESTOQUE TAP </v>
      </c>
      <c r="B2569" s="4" t="s">
        <v>275</v>
      </c>
      <c r="D2569" s="5">
        <v>19.899999999999999</v>
      </c>
      <c r="F2569" s="4" t="s">
        <v>59</v>
      </c>
      <c r="G2569" s="4" t="s">
        <v>1628</v>
      </c>
      <c r="H2569" s="6" t="s">
        <v>11</v>
      </c>
    </row>
    <row r="2570" spans="1:8" x14ac:dyDescent="0.25">
      <c r="A2570" s="4" t="s">
        <v>1636</v>
      </c>
      <c r="B2570" s="4" t="s">
        <v>275</v>
      </c>
      <c r="D2570" s="5">
        <v>15.12</v>
      </c>
      <c r="E2570" s="5">
        <v>90</v>
      </c>
      <c r="F2570" s="4" t="s">
        <v>59</v>
      </c>
      <c r="G2570" s="4" t="s">
        <v>1637</v>
      </c>
      <c r="H2570" s="6" t="s">
        <v>11</v>
      </c>
    </row>
    <row r="2571" spans="1:8" x14ac:dyDescent="0.25">
      <c r="A2571" s="4" t="s">
        <v>1638</v>
      </c>
      <c r="B2571" s="4" t="s">
        <v>275</v>
      </c>
      <c r="D2571" s="5">
        <v>10.44</v>
      </c>
      <c r="F2571" s="4" t="s">
        <v>59</v>
      </c>
      <c r="G2571" s="4" t="s">
        <v>1639</v>
      </c>
      <c r="H2571" s="6" t="s">
        <v>11</v>
      </c>
    </row>
    <row r="2572" spans="1:8" x14ac:dyDescent="0.25">
      <c r="A2572" s="4" t="str">
        <f>"CHOPE MASMORRA CERVEJA DO DJANHO TRIPEL - ESTOQUE TAP "</f>
        <v xml:space="preserve">CHOPE MASMORRA CERVEJA DO DJANHO TRIPEL - ESTOQUE TAP </v>
      </c>
      <c r="B2572" s="4" t="s">
        <v>275</v>
      </c>
      <c r="D2572" s="5">
        <v>19.5</v>
      </c>
      <c r="F2572" s="4" t="s">
        <v>59</v>
      </c>
      <c r="G2572" s="4" t="s">
        <v>1649</v>
      </c>
      <c r="H2572" s="6" t="s">
        <v>11</v>
      </c>
    </row>
    <row r="2573" spans="1:8" x14ac:dyDescent="0.25">
      <c r="A2573" s="4" t="str">
        <f>"CHOPE MASMORRA MIRTILO SOUR - ESTOQUE "</f>
        <v xml:space="preserve">CHOPE MASMORRA MIRTILO SOUR - ESTOQUE </v>
      </c>
      <c r="B2573" s="4" t="s">
        <v>275</v>
      </c>
      <c r="D2573" s="5">
        <v>19.899999999999999</v>
      </c>
      <c r="F2573" s="4" t="s">
        <v>59</v>
      </c>
      <c r="G2573" s="4" t="s">
        <v>1650</v>
      </c>
      <c r="H2573" s="6" t="s">
        <v>11</v>
      </c>
    </row>
    <row r="2574" spans="1:8" x14ac:dyDescent="0.25">
      <c r="A2574" s="4" t="str">
        <f>"CHOPE MASMORRA PERVESE - ESTOQUE "</f>
        <v xml:space="preserve">CHOPE MASMORRA PERVESE - ESTOQUE </v>
      </c>
      <c r="B2574" s="4" t="s">
        <v>275</v>
      </c>
      <c r="D2574" s="5">
        <v>15.16</v>
      </c>
      <c r="F2574" s="4" t="s">
        <v>59</v>
      </c>
      <c r="G2574" s="4" t="s">
        <v>1651</v>
      </c>
      <c r="H2574" s="6" t="s">
        <v>11</v>
      </c>
    </row>
    <row r="2575" spans="1:8" x14ac:dyDescent="0.25">
      <c r="A2575" s="4" t="str">
        <f>"CHOPE MASMORRA ROYALTY COFFEE SOUR - ESTOQUE TAP "</f>
        <v xml:space="preserve">CHOPE MASMORRA ROYALTY COFFEE SOUR - ESTOQUE TAP </v>
      </c>
      <c r="B2575" s="4" t="s">
        <v>275</v>
      </c>
      <c r="D2575" s="5">
        <v>567</v>
      </c>
      <c r="F2575" s="4" t="s">
        <v>59</v>
      </c>
      <c r="G2575" s="4" t="s">
        <v>1655</v>
      </c>
      <c r="H2575" s="6" t="s">
        <v>11</v>
      </c>
    </row>
    <row r="2576" spans="1:8" x14ac:dyDescent="0.25">
      <c r="A2576" s="4" t="str">
        <f>"CHOPE MAX MALLOW  - ESTOQUE "</f>
        <v xml:space="preserve">CHOPE MAX MALLOW  - ESTOQUE </v>
      </c>
      <c r="B2576" s="4" t="s">
        <v>275</v>
      </c>
      <c r="D2576" s="5">
        <v>21.9</v>
      </c>
      <c r="F2576" s="4" t="s">
        <v>59</v>
      </c>
      <c r="G2576" s="4" t="s">
        <v>1656</v>
      </c>
      <c r="H2576" s="6" t="s">
        <v>11</v>
      </c>
    </row>
    <row r="2577" spans="1:8" x14ac:dyDescent="0.25">
      <c r="A2577" s="4" t="str">
        <f>"CHOPE MERGULHAO DOUBLE IPA - ESTOQUE "</f>
        <v xml:space="preserve">CHOPE MERGULHAO DOUBLE IPA - ESTOQUE </v>
      </c>
      <c r="B2577" s="4" t="s">
        <v>275</v>
      </c>
      <c r="D2577" s="5">
        <v>21.52</v>
      </c>
      <c r="F2577" s="4" t="s">
        <v>59</v>
      </c>
      <c r="G2577" s="4" t="s">
        <v>1664</v>
      </c>
      <c r="H2577" s="6" t="s">
        <v>11</v>
      </c>
    </row>
    <row r="2578" spans="1:8" x14ac:dyDescent="0.25">
      <c r="A2578" s="4" t="s">
        <v>1672</v>
      </c>
      <c r="B2578" s="4" t="s">
        <v>275</v>
      </c>
      <c r="D2578" s="5">
        <v>24</v>
      </c>
      <c r="F2578" s="4" t="s">
        <v>59</v>
      </c>
      <c r="G2578" s="4" t="s">
        <v>1673</v>
      </c>
      <c r="H2578" s="6" t="s">
        <v>11</v>
      </c>
    </row>
    <row r="2579" spans="1:8" x14ac:dyDescent="0.25">
      <c r="A2579" s="4" t="str">
        <f>"CHOPE MONKEY SHINE - ESTOQUE TAP "</f>
        <v xml:space="preserve">CHOPE MONKEY SHINE - ESTOQUE TAP </v>
      </c>
      <c r="B2579" s="4" t="s">
        <v>275</v>
      </c>
      <c r="D2579" s="5">
        <v>17.440000000000001</v>
      </c>
      <c r="F2579" s="4" t="s">
        <v>59</v>
      </c>
      <c r="G2579" s="4" t="s">
        <v>1674</v>
      </c>
      <c r="H2579" s="6" t="s">
        <v>11</v>
      </c>
    </row>
    <row r="2580" spans="1:8" x14ac:dyDescent="0.25">
      <c r="A2580" s="4" t="str">
        <f>"CHOPE MOON CLOCKS - ESTOQUE TAP "</f>
        <v xml:space="preserve">CHOPE MOON CLOCKS - ESTOQUE TAP </v>
      </c>
      <c r="B2580" s="4" t="s">
        <v>275</v>
      </c>
      <c r="D2580" s="5">
        <v>24</v>
      </c>
      <c r="F2580" s="4" t="s">
        <v>59</v>
      </c>
      <c r="G2580" s="4" t="s">
        <v>1681</v>
      </c>
      <c r="H2580" s="6" t="s">
        <v>11</v>
      </c>
    </row>
    <row r="2581" spans="1:8" x14ac:dyDescent="0.25">
      <c r="A2581" s="4" t="str">
        <f>"CHOPE MOON WAVEZ - ESTOQUE "</f>
        <v xml:space="preserve">CHOPE MOON WAVEZ - ESTOQUE </v>
      </c>
      <c r="B2581" s="4" t="s">
        <v>275</v>
      </c>
      <c r="D2581" s="5">
        <v>25.9</v>
      </c>
      <c r="F2581" s="4" t="s">
        <v>59</v>
      </c>
      <c r="G2581" s="4" t="s">
        <v>1684</v>
      </c>
      <c r="H2581" s="6" t="s">
        <v>11</v>
      </c>
    </row>
    <row r="2582" spans="1:8" x14ac:dyDescent="0.25">
      <c r="A2582" s="4" t="str">
        <f>"CHOPE MOONDRI  DISCOVERY- ESTOQUE "</f>
        <v xml:space="preserve">CHOPE MOONDRI  DISCOVERY- ESTOQUE </v>
      </c>
      <c r="B2582" s="4" t="s">
        <v>275</v>
      </c>
      <c r="D2582" s="5">
        <v>18</v>
      </c>
      <c r="F2582" s="4" t="s">
        <v>59</v>
      </c>
      <c r="G2582" s="4" t="s">
        <v>1691</v>
      </c>
      <c r="H2582" s="6" t="s">
        <v>11</v>
      </c>
    </row>
    <row r="2583" spans="1:8" x14ac:dyDescent="0.25">
      <c r="A2583" s="4" t="str">
        <f>"CHOPE MOONDRI MOON BALANCE SESSION NEIPA - ESTOQUE TAP "</f>
        <v xml:space="preserve">CHOPE MOONDRI MOON BALANCE SESSION NEIPA - ESTOQUE TAP </v>
      </c>
      <c r="B2583" s="4" t="s">
        <v>275</v>
      </c>
      <c r="D2583" s="5">
        <v>20</v>
      </c>
      <c r="F2583" s="4" t="s">
        <v>59</v>
      </c>
      <c r="G2583" s="4" t="s">
        <v>1698</v>
      </c>
      <c r="H2583" s="6" t="s">
        <v>11</v>
      </c>
    </row>
    <row r="2584" spans="1:8" x14ac:dyDescent="0.25">
      <c r="A2584" s="4" t="str">
        <f>"CHOPE MOONDRI NIGTH CREATURES 3 RIS COM CAFE - ESTOQUE TAP "</f>
        <v xml:space="preserve">CHOPE MOONDRI NIGTH CREATURES 3 RIS COM CAFE - ESTOQUE TAP </v>
      </c>
      <c r="B2584" s="4" t="s">
        <v>275</v>
      </c>
      <c r="D2584" s="5">
        <v>25</v>
      </c>
      <c r="F2584" s="4" t="s">
        <v>59</v>
      </c>
      <c r="G2584" s="4" t="s">
        <v>1705</v>
      </c>
      <c r="H2584" s="6" t="s">
        <v>11</v>
      </c>
    </row>
    <row r="2585" spans="1:8" x14ac:dyDescent="0.25">
      <c r="A2585" s="4" t="str">
        <f>"CHOPE MOONDRI OLHA PRA LUA -ESTOQUE TAP "</f>
        <v xml:space="preserve">CHOPE MOONDRI OLHA PRA LUA -ESTOQUE TAP </v>
      </c>
      <c r="B2585" s="4" t="s">
        <v>275</v>
      </c>
      <c r="D2585" s="5">
        <v>22.5</v>
      </c>
      <c r="F2585" s="4" t="s">
        <v>59</v>
      </c>
      <c r="G2585" s="4" t="s">
        <v>1706</v>
      </c>
      <c r="H2585" s="6" t="s">
        <v>11</v>
      </c>
    </row>
    <row r="2586" spans="1:8" x14ac:dyDescent="0.25">
      <c r="A2586" s="4" t="str">
        <f>"CHOPE MOONDRI SHINE AMERICAN IPA - ESTOQUE TAP "</f>
        <v xml:space="preserve">CHOPE MOONDRI SHINE AMERICAN IPA - ESTOQUE TAP </v>
      </c>
      <c r="B2586" s="4" t="s">
        <v>275</v>
      </c>
      <c r="D2586" s="5">
        <v>19</v>
      </c>
      <c r="F2586" s="4" t="s">
        <v>59</v>
      </c>
      <c r="G2586" s="4" t="s">
        <v>1710</v>
      </c>
      <c r="H2586" s="6" t="s">
        <v>11</v>
      </c>
    </row>
    <row r="2587" spans="1:8" x14ac:dyDescent="0.25">
      <c r="A2587" s="4" t="str">
        <f>"CHOPE MOONDRI URBAN MOON WCIPA - ESTOQUE TAP "</f>
        <v xml:space="preserve">CHOPE MOONDRI URBAN MOON WCIPA - ESTOQUE TAP </v>
      </c>
      <c r="B2587" s="4" t="s">
        <v>275</v>
      </c>
      <c r="D2587" s="5">
        <v>25</v>
      </c>
      <c r="F2587" s="4" t="s">
        <v>59</v>
      </c>
      <c r="G2587" s="4" t="s">
        <v>1713</v>
      </c>
      <c r="H2587" s="6" t="s">
        <v>11</v>
      </c>
    </row>
    <row r="2588" spans="1:8" x14ac:dyDescent="0.25">
      <c r="A2588" s="4" t="s">
        <v>1714</v>
      </c>
      <c r="B2588" s="4" t="s">
        <v>275</v>
      </c>
      <c r="D2588" s="5">
        <v>20.9</v>
      </c>
      <c r="F2588" s="4" t="s">
        <v>59</v>
      </c>
      <c r="G2588" s="4" t="s">
        <v>1715</v>
      </c>
      <c r="H2588" s="6" t="s">
        <v>11</v>
      </c>
    </row>
    <row r="2589" spans="1:8" x14ac:dyDescent="0.25">
      <c r="A2589" s="4" t="s">
        <v>1720</v>
      </c>
      <c r="B2589" s="4" t="s">
        <v>275</v>
      </c>
      <c r="D2589" s="5">
        <v>18.03</v>
      </c>
      <c r="F2589" s="4" t="s">
        <v>59</v>
      </c>
      <c r="G2589" s="4" t="s">
        <v>1721</v>
      </c>
      <c r="H2589" s="6" t="s">
        <v>11</v>
      </c>
    </row>
    <row r="2590" spans="1:8" x14ac:dyDescent="0.25">
      <c r="A2590" s="4" t="str">
        <f>"CHOPE NAKED PUNCH - ESTOQUE TAP "</f>
        <v xml:space="preserve">CHOPE NAKED PUNCH - ESTOQUE TAP </v>
      </c>
      <c r="B2590" s="4" t="s">
        <v>275</v>
      </c>
      <c r="F2590" s="4" t="s">
        <v>59</v>
      </c>
      <c r="G2590" s="4" t="s">
        <v>1736</v>
      </c>
      <c r="H2590" s="6" t="s">
        <v>11</v>
      </c>
    </row>
    <row r="2591" spans="1:8" x14ac:dyDescent="0.25">
      <c r="A2591" s="4" t="str">
        <f>"CHOPE NEIPA WAMAHOY- ESTOQUE "</f>
        <v xml:space="preserve">CHOPE NEIPA WAMAHOY- ESTOQUE </v>
      </c>
      <c r="B2591" s="4" t="s">
        <v>275</v>
      </c>
      <c r="D2591" s="5">
        <v>22.34</v>
      </c>
      <c r="F2591" s="4" t="s">
        <v>59</v>
      </c>
      <c r="G2591" s="4" t="s">
        <v>1737</v>
      </c>
      <c r="H2591" s="6" t="s">
        <v>11</v>
      </c>
    </row>
    <row r="2592" spans="1:8" x14ac:dyDescent="0.25">
      <c r="A2592" s="4" t="str">
        <f>"CHOPE NEW SENSATION- ESTOQUE TAP "</f>
        <v xml:space="preserve">CHOPE NEW SENSATION- ESTOQUE TAP </v>
      </c>
      <c r="B2592" s="4" t="s">
        <v>275</v>
      </c>
      <c r="D2592" s="5">
        <v>23.42</v>
      </c>
      <c r="F2592" s="4" t="s">
        <v>59</v>
      </c>
      <c r="G2592" s="4" t="s">
        <v>1741</v>
      </c>
      <c r="H2592" s="6" t="s">
        <v>11</v>
      </c>
    </row>
    <row r="2593" spans="1:8" x14ac:dyDescent="0.25">
      <c r="A2593" s="4" t="str">
        <f>"CHOPE NEW ZEALAND HAZY IPA   - ESTOQUE "</f>
        <v xml:space="preserve">CHOPE NEW ZEALAND HAZY IPA   - ESTOQUE </v>
      </c>
      <c r="B2593" s="4" t="s">
        <v>275</v>
      </c>
      <c r="D2593" s="5">
        <v>24</v>
      </c>
      <c r="F2593" s="4" t="s">
        <v>59</v>
      </c>
      <c r="G2593" s="4" t="s">
        <v>1742</v>
      </c>
      <c r="H2593" s="6" t="s">
        <v>11</v>
      </c>
    </row>
    <row r="2594" spans="1:8" x14ac:dyDescent="0.25">
      <c r="A2594" s="4" t="s">
        <v>1744</v>
      </c>
      <c r="B2594" s="4" t="s">
        <v>275</v>
      </c>
      <c r="D2594" s="5">
        <v>26.63</v>
      </c>
      <c r="F2594" s="4" t="s">
        <v>59</v>
      </c>
      <c r="G2594" s="4" t="s">
        <v>1745</v>
      </c>
      <c r="H2594" s="6" t="s">
        <v>11</v>
      </c>
    </row>
    <row r="2595" spans="1:8" x14ac:dyDescent="0.25">
      <c r="A2595" s="4" t="str">
        <f>"CHOPE NUT BIER BLACK SHITAK DRY STOUT  - ESTOQUE TAP "</f>
        <v xml:space="preserve">CHOPE NUT BIER BLACK SHITAK DRY STOUT  - ESTOQUE TAP </v>
      </c>
      <c r="B2595" s="4" t="s">
        <v>275</v>
      </c>
      <c r="D2595" s="5">
        <v>18.010000000000002</v>
      </c>
      <c r="F2595" s="4" t="s">
        <v>59</v>
      </c>
      <c r="G2595" s="4" t="s">
        <v>1748</v>
      </c>
      <c r="H2595" s="6" t="s">
        <v>11</v>
      </c>
    </row>
    <row r="2596" spans="1:8" x14ac:dyDescent="0.25">
      <c r="A2596" s="4" t="str">
        <f>"CHOPE NUT BIER CALLISTA -ESTOQUE TAP "</f>
        <v xml:space="preserve">CHOPE NUT BIER CALLISTA -ESTOQUE TAP </v>
      </c>
      <c r="B2596" s="4" t="s">
        <v>275</v>
      </c>
      <c r="D2596" s="5">
        <v>18.010000000000002</v>
      </c>
      <c r="F2596" s="4" t="s">
        <v>59</v>
      </c>
      <c r="G2596" s="4" t="s">
        <v>1752</v>
      </c>
      <c r="H2596" s="6" t="s">
        <v>11</v>
      </c>
    </row>
    <row r="2597" spans="1:8" x14ac:dyDescent="0.25">
      <c r="A2597" s="4" t="str">
        <f>"CHOPE NUT BIER IRADA - ESTOQUE TAP "</f>
        <v xml:space="preserve">CHOPE NUT BIER IRADA - ESTOQUE TAP </v>
      </c>
      <c r="B2597" s="4" t="s">
        <v>275</v>
      </c>
      <c r="D2597" s="5">
        <v>25</v>
      </c>
      <c r="F2597" s="4" t="s">
        <v>59</v>
      </c>
      <c r="G2597" s="4" t="s">
        <v>1756</v>
      </c>
      <c r="H2597" s="6" t="s">
        <v>11</v>
      </c>
    </row>
    <row r="2598" spans="1:8" x14ac:dyDescent="0.25">
      <c r="A2598" s="4" t="str">
        <f>"CHOPE ODIN WITIBIER   - ESTOQUE "</f>
        <v xml:space="preserve">CHOPE ODIN WITIBIER   - ESTOQUE </v>
      </c>
      <c r="B2598" s="4" t="s">
        <v>275</v>
      </c>
      <c r="D2598" s="5">
        <v>15.9</v>
      </c>
      <c r="F2598" s="4" t="s">
        <v>59</v>
      </c>
      <c r="G2598" s="4" t="s">
        <v>1761</v>
      </c>
      <c r="H2598" s="6" t="s">
        <v>11</v>
      </c>
    </row>
    <row r="2599" spans="1:8" x14ac:dyDescent="0.25">
      <c r="A2599" s="4" t="str">
        <f>"CHOPE ODISSEIA DA SERIGUELA  - ESTOQUE "</f>
        <v xml:space="preserve">CHOPE ODISSEIA DA SERIGUELA  - ESTOQUE </v>
      </c>
      <c r="B2599" s="4" t="s">
        <v>275</v>
      </c>
      <c r="D2599" s="5">
        <v>18.2</v>
      </c>
      <c r="F2599" s="4" t="s">
        <v>59</v>
      </c>
      <c r="G2599" s="4" t="s">
        <v>1764</v>
      </c>
      <c r="H2599" s="6" t="s">
        <v>11</v>
      </c>
    </row>
    <row r="2600" spans="1:8" x14ac:dyDescent="0.25">
      <c r="A2600" s="4" t="s">
        <v>1768</v>
      </c>
      <c r="B2600" s="4" t="s">
        <v>275</v>
      </c>
      <c r="D2600" s="5">
        <v>19</v>
      </c>
      <c r="F2600" s="4" t="s">
        <v>59</v>
      </c>
      <c r="G2600" s="4" t="s">
        <v>1769</v>
      </c>
      <c r="H2600" s="6" t="s">
        <v>11</v>
      </c>
    </row>
    <row r="2601" spans="1:8" x14ac:dyDescent="0.25">
      <c r="A2601" s="4" t="str">
        <f>"CHOPE OL BEER OVERSEAS -SESSION IPA ESTOQUE TAP "</f>
        <v xml:space="preserve">CHOPE OL BEER OVERSEAS -SESSION IPA ESTOQUE TAP </v>
      </c>
      <c r="B2601" s="4" t="s">
        <v>275</v>
      </c>
      <c r="D2601" s="5">
        <v>16.899999999999999</v>
      </c>
      <c r="F2601" s="4" t="s">
        <v>59</v>
      </c>
      <c r="G2601" s="4" t="s">
        <v>1772</v>
      </c>
      <c r="H2601" s="6" t="s">
        <v>11</v>
      </c>
    </row>
    <row r="2602" spans="1:8" x14ac:dyDescent="0.25">
      <c r="A2602" s="4" t="str">
        <f>"CHOPE OL BEER SALINAS GOSE - ESTOQUE TAP "</f>
        <v xml:space="preserve">CHOPE OL BEER SALINAS GOSE - ESTOQUE TAP </v>
      </c>
      <c r="B2602" s="4" t="s">
        <v>275</v>
      </c>
      <c r="D2602" s="5">
        <v>19.899999999999999</v>
      </c>
      <c r="F2602" s="4" t="s">
        <v>59</v>
      </c>
      <c r="G2602" s="4" t="s">
        <v>1778</v>
      </c>
      <c r="H2602" s="6" t="s">
        <v>11</v>
      </c>
    </row>
    <row r="2603" spans="1:8" x14ac:dyDescent="0.25">
      <c r="A2603" s="4" t="str">
        <f>"CHOPE OL BEER SUNNA SESSION IPA - ESTOQUE TAP "</f>
        <v xml:space="preserve">CHOPE OL BEER SUNNA SESSION IPA - ESTOQUE TAP </v>
      </c>
      <c r="B2603" s="4" t="s">
        <v>275</v>
      </c>
      <c r="D2603" s="5">
        <v>18.899999999999999</v>
      </c>
      <c r="F2603" s="4" t="s">
        <v>59</v>
      </c>
      <c r="G2603" s="4" t="s">
        <v>1779</v>
      </c>
      <c r="H2603" s="6" t="s">
        <v>11</v>
      </c>
    </row>
    <row r="2604" spans="1:8" x14ac:dyDescent="0.25">
      <c r="A2604" s="4" t="str">
        <f>"CHOPE OLD BUT GOLD - ESTOQUE "</f>
        <v xml:space="preserve">CHOPE OLD BUT GOLD - ESTOQUE </v>
      </c>
      <c r="B2604" s="4" t="s">
        <v>275</v>
      </c>
      <c r="D2604" s="5">
        <v>17.8</v>
      </c>
      <c r="F2604" s="4" t="s">
        <v>59</v>
      </c>
      <c r="G2604" s="4" t="s">
        <v>1782</v>
      </c>
      <c r="H2604" s="6" t="s">
        <v>11</v>
      </c>
    </row>
    <row r="2605" spans="1:8" x14ac:dyDescent="0.25">
      <c r="A2605" s="4" t="s">
        <v>1786</v>
      </c>
      <c r="B2605" s="4" t="s">
        <v>275</v>
      </c>
      <c r="D2605" s="5">
        <v>21.9</v>
      </c>
      <c r="F2605" s="4" t="s">
        <v>59</v>
      </c>
      <c r="G2605" s="4" t="s">
        <v>1787</v>
      </c>
      <c r="H2605" s="6" t="s">
        <v>11</v>
      </c>
    </row>
    <row r="2606" spans="1:8" x14ac:dyDescent="0.25">
      <c r="A2606" s="4" t="str">
        <f>"CHOPE OLD CAR ELEANOR - ESTOQUE TAP "</f>
        <v xml:space="preserve">CHOPE OLD CAR ELEANOR - ESTOQUE TAP </v>
      </c>
      <c r="B2606" s="4" t="s">
        <v>275</v>
      </c>
      <c r="D2606" s="5">
        <v>25</v>
      </c>
      <c r="F2606" s="4" t="s">
        <v>59</v>
      </c>
      <c r="G2606" s="4" t="s">
        <v>1792</v>
      </c>
      <c r="H2606" s="6" t="s">
        <v>11</v>
      </c>
    </row>
    <row r="2607" spans="1:8" x14ac:dyDescent="0.25">
      <c r="A2607" s="4" t="str">
        <f>"CHOPE OLD CAR HOPSTER DOUBLE IPA - ESTOQUE TAP "</f>
        <v xml:space="preserve">CHOPE OLD CAR HOPSTER DOUBLE IPA - ESTOQUE TAP </v>
      </c>
      <c r="B2607" s="4" t="s">
        <v>275</v>
      </c>
      <c r="D2607" s="5">
        <v>25</v>
      </c>
      <c r="F2607" s="4" t="s">
        <v>59</v>
      </c>
      <c r="G2607" s="4" t="s">
        <v>1793</v>
      </c>
      <c r="H2607" s="6" t="s">
        <v>11</v>
      </c>
    </row>
    <row r="2608" spans="1:8" x14ac:dyDescent="0.25">
      <c r="A2608" s="4" t="str">
        <f>"CHOPE OLD CAR RED DART RED ALE - ESTOQUE TAP "</f>
        <v xml:space="preserve">CHOPE OLD CAR RED DART RED ALE - ESTOQUE TAP </v>
      </c>
      <c r="B2608" s="4" t="s">
        <v>275</v>
      </c>
      <c r="D2608" s="5">
        <v>15.5</v>
      </c>
      <c r="F2608" s="4" t="s">
        <v>59</v>
      </c>
      <c r="G2608" s="4" t="s">
        <v>1797</v>
      </c>
      <c r="H2608" s="6" t="s">
        <v>11</v>
      </c>
    </row>
    <row r="2609" spans="1:8" x14ac:dyDescent="0.25">
      <c r="A2609" s="4" t="s">
        <v>1803</v>
      </c>
      <c r="B2609" s="4" t="s">
        <v>275</v>
      </c>
      <c r="D2609" s="5">
        <v>28.26</v>
      </c>
      <c r="F2609" s="4" t="s">
        <v>59</v>
      </c>
      <c r="G2609" s="4" t="s">
        <v>1804</v>
      </c>
      <c r="H2609" s="6" t="s">
        <v>11</v>
      </c>
    </row>
    <row r="2610" spans="1:8" x14ac:dyDescent="0.25">
      <c r="A2610" s="4" t="str">
        <f>"CHOPE ONI SORACHI MASMORRA  - ESTOQUE "</f>
        <v xml:space="preserve">CHOPE ONI SORACHI MASMORRA  - ESTOQUE </v>
      </c>
      <c r="B2610" s="4" t="s">
        <v>275</v>
      </c>
      <c r="D2610" s="5">
        <v>585</v>
      </c>
      <c r="F2610" s="4" t="s">
        <v>59</v>
      </c>
      <c r="G2610" s="4" t="s">
        <v>1815</v>
      </c>
      <c r="H2610" s="6" t="s">
        <v>11</v>
      </c>
    </row>
    <row r="2611" spans="1:8" x14ac:dyDescent="0.25">
      <c r="A2611" s="4" t="str">
        <f>"CHOPE ORANGE MOON - ESTOQUE TAP "</f>
        <v xml:space="preserve">CHOPE ORANGE MOON - ESTOQUE TAP </v>
      </c>
      <c r="B2611" s="4" t="s">
        <v>275</v>
      </c>
      <c r="D2611" s="5">
        <v>24</v>
      </c>
      <c r="F2611" s="4" t="s">
        <v>59</v>
      </c>
      <c r="G2611" s="4" t="s">
        <v>1819</v>
      </c>
      <c r="H2611" s="6" t="s">
        <v>11</v>
      </c>
    </row>
    <row r="2612" spans="1:8" x14ac:dyDescent="0.25">
      <c r="A2612" s="4" t="s">
        <v>1828</v>
      </c>
      <c r="B2612" s="4" t="s">
        <v>275</v>
      </c>
      <c r="D2612" s="5">
        <v>15.9</v>
      </c>
      <c r="F2612" s="4" t="s">
        <v>59</v>
      </c>
      <c r="G2612" s="4" t="s">
        <v>1829</v>
      </c>
      <c r="H2612" s="6" t="s">
        <v>11</v>
      </c>
    </row>
    <row r="2613" spans="1:8" x14ac:dyDescent="0.25">
      <c r="A2613" s="4" t="s">
        <v>1830</v>
      </c>
      <c r="B2613" s="4" t="s">
        <v>275</v>
      </c>
      <c r="D2613" s="5">
        <v>18.899999999999999</v>
      </c>
      <c r="F2613" s="4" t="s">
        <v>59</v>
      </c>
      <c r="G2613" s="4" t="s">
        <v>1831</v>
      </c>
      <c r="H2613" s="6" t="s">
        <v>11</v>
      </c>
    </row>
    <row r="2614" spans="1:8" x14ac:dyDescent="0.25">
      <c r="A2614" s="4" t="str">
        <f>"CHOPE OVERJOY - ESTOQUE "</f>
        <v xml:space="preserve">CHOPE OVERJOY - ESTOQUE </v>
      </c>
      <c r="B2614" s="4" t="s">
        <v>275</v>
      </c>
      <c r="D2614" s="5">
        <v>0.7</v>
      </c>
      <c r="F2614" s="4" t="s">
        <v>59</v>
      </c>
      <c r="G2614" s="4" t="s">
        <v>1832</v>
      </c>
      <c r="H2614" s="6" t="s">
        <v>11</v>
      </c>
    </row>
    <row r="2615" spans="1:8" x14ac:dyDescent="0.25">
      <c r="A2615" s="4" t="str">
        <f>"CHOPE OVERKILL- ESTOQUE "</f>
        <v xml:space="preserve">CHOPE OVERKILL- ESTOQUE </v>
      </c>
      <c r="B2615" s="4" t="s">
        <v>275</v>
      </c>
      <c r="D2615" s="5">
        <v>19</v>
      </c>
      <c r="F2615" s="4" t="s">
        <v>59</v>
      </c>
      <c r="G2615" s="4" t="s">
        <v>1839</v>
      </c>
      <c r="H2615" s="6" t="s">
        <v>11</v>
      </c>
    </row>
    <row r="2616" spans="1:8" x14ac:dyDescent="0.25">
      <c r="A2616" s="4" t="s">
        <v>1844</v>
      </c>
      <c r="B2616" s="4" t="s">
        <v>275</v>
      </c>
      <c r="D2616" s="5">
        <v>13.9</v>
      </c>
      <c r="F2616" s="4" t="s">
        <v>59</v>
      </c>
      <c r="G2616" s="4" t="s">
        <v>1845</v>
      </c>
      <c r="H2616" s="6" t="s">
        <v>11</v>
      </c>
    </row>
    <row r="2617" spans="1:8" x14ac:dyDescent="0.25">
      <c r="A2617" s="4" t="s">
        <v>1846</v>
      </c>
      <c r="B2617" s="4" t="s">
        <v>275</v>
      </c>
      <c r="D2617" s="5">
        <v>26.96</v>
      </c>
      <c r="F2617" s="4" t="s">
        <v>59</v>
      </c>
      <c r="G2617" s="4" t="s">
        <v>1847</v>
      </c>
      <c r="H2617" s="6" t="s">
        <v>11</v>
      </c>
    </row>
    <row r="2618" spans="1:8" x14ac:dyDescent="0.25">
      <c r="A2618" s="4" t="s">
        <v>1855</v>
      </c>
      <c r="B2618" s="4" t="s">
        <v>275</v>
      </c>
      <c r="D2618" s="5">
        <v>10.050000000000001</v>
      </c>
      <c r="F2618" s="4" t="s">
        <v>59</v>
      </c>
      <c r="G2618" s="4" t="s">
        <v>1856</v>
      </c>
      <c r="H2618" s="6" t="s">
        <v>11</v>
      </c>
    </row>
    <row r="2619" spans="1:8" x14ac:dyDescent="0.25">
      <c r="A2619" s="4" t="str">
        <f>"CHOPE PIRATA QUEEN - ESTOQUE "</f>
        <v xml:space="preserve">CHOPE PIRATA QUEEN - ESTOQUE </v>
      </c>
      <c r="B2619" s="4" t="s">
        <v>275</v>
      </c>
      <c r="D2619" s="5">
        <v>17.899999999999999</v>
      </c>
      <c r="F2619" s="4" t="s">
        <v>59</v>
      </c>
      <c r="G2619" s="4" t="s">
        <v>1860</v>
      </c>
      <c r="H2619" s="6" t="s">
        <v>11</v>
      </c>
    </row>
    <row r="2620" spans="1:8" x14ac:dyDescent="0.25">
      <c r="A2620" s="4" t="s">
        <v>1861</v>
      </c>
      <c r="B2620" s="4" t="s">
        <v>275</v>
      </c>
      <c r="D2620" s="5">
        <v>27</v>
      </c>
      <c r="F2620" s="4" t="s">
        <v>59</v>
      </c>
      <c r="G2620" s="4" t="s">
        <v>1862</v>
      </c>
      <c r="H2620" s="6" t="s">
        <v>11</v>
      </c>
    </row>
    <row r="2621" spans="1:8" x14ac:dyDescent="0.25">
      <c r="A2621" s="4" t="str">
        <f>"CHOPE PRO HOP FORTUNA  - ESTOQUE "</f>
        <v xml:space="preserve">CHOPE PRO HOP FORTUNA  - ESTOQUE </v>
      </c>
      <c r="B2621" s="4" t="s">
        <v>275</v>
      </c>
      <c r="D2621" s="5">
        <v>18.53</v>
      </c>
      <c r="F2621" s="4" t="s">
        <v>59</v>
      </c>
      <c r="G2621" s="4" t="s">
        <v>1869</v>
      </c>
      <c r="H2621" s="6" t="s">
        <v>11</v>
      </c>
    </row>
    <row r="2622" spans="1:8" x14ac:dyDescent="0.25">
      <c r="A2622" s="4" t="s">
        <v>1877</v>
      </c>
      <c r="B2622" s="4" t="s">
        <v>275</v>
      </c>
      <c r="D2622" s="5">
        <v>14.5</v>
      </c>
      <c r="F2622" s="4" t="s">
        <v>59</v>
      </c>
      <c r="G2622" s="4" t="s">
        <v>1878</v>
      </c>
      <c r="H2622" s="6" t="s">
        <v>11</v>
      </c>
    </row>
    <row r="2623" spans="1:8" x14ac:dyDescent="0.25">
      <c r="A2623" s="4" t="str">
        <f>"CHOPE RED WELT - ESTOQUE TAP "</f>
        <v xml:space="preserve">CHOPE RED WELT - ESTOQUE TAP </v>
      </c>
      <c r="B2623" s="4" t="s">
        <v>275</v>
      </c>
      <c r="D2623" s="5">
        <v>14</v>
      </c>
      <c r="F2623" s="4" t="s">
        <v>59</v>
      </c>
      <c r="G2623" s="4" t="s">
        <v>1881</v>
      </c>
      <c r="H2623" s="6" t="s">
        <v>11</v>
      </c>
    </row>
    <row r="2624" spans="1:8" x14ac:dyDescent="0.25">
      <c r="A2624" s="4" t="s">
        <v>1882</v>
      </c>
      <c r="B2624" s="4" t="s">
        <v>275</v>
      </c>
      <c r="D2624" s="5">
        <v>17.899999999999999</v>
      </c>
      <c r="F2624" s="4" t="s">
        <v>59</v>
      </c>
      <c r="G2624" s="4" t="s">
        <v>1883</v>
      </c>
      <c r="H2624" s="6" t="s">
        <v>11</v>
      </c>
    </row>
    <row r="2625" spans="1:8" x14ac:dyDescent="0.25">
      <c r="A2625" s="4" t="str">
        <f>"CHOPE REPTILIANA- ESTOQUE TAP "</f>
        <v xml:space="preserve">CHOPE REPTILIANA- ESTOQUE TAP </v>
      </c>
      <c r="B2625" s="4" t="s">
        <v>275</v>
      </c>
      <c r="D2625" s="5">
        <v>19</v>
      </c>
      <c r="F2625" s="4" t="s">
        <v>59</v>
      </c>
      <c r="G2625" s="4" t="s">
        <v>1892</v>
      </c>
      <c r="H2625" s="6" t="s">
        <v>11</v>
      </c>
    </row>
    <row r="2626" spans="1:8" x14ac:dyDescent="0.25">
      <c r="A2626" s="4" t="str">
        <f>"CHOPE RISK OFF- ESTOQUE TAP "</f>
        <v xml:space="preserve">CHOPE RISK OFF- ESTOQUE TAP </v>
      </c>
      <c r="B2626" s="4" t="s">
        <v>275</v>
      </c>
      <c r="D2626" s="5">
        <v>24.68</v>
      </c>
      <c r="F2626" s="4" t="s">
        <v>59</v>
      </c>
      <c r="G2626" s="4" t="s">
        <v>1895</v>
      </c>
      <c r="H2626" s="6" t="s">
        <v>11</v>
      </c>
    </row>
    <row r="2627" spans="1:8" x14ac:dyDescent="0.25">
      <c r="A2627" s="4" t="str">
        <f>"CHOPE ROGGENFELD -  ESTOQUE TAP "</f>
        <v xml:space="preserve">CHOPE ROGGENFELD -  ESTOQUE TAP </v>
      </c>
      <c r="B2627" s="4" t="s">
        <v>275</v>
      </c>
      <c r="D2627" s="5">
        <v>23.23</v>
      </c>
      <c r="F2627" s="4" t="s">
        <v>59</v>
      </c>
      <c r="G2627" s="4" t="s">
        <v>1899</v>
      </c>
      <c r="H2627" s="6" t="s">
        <v>11</v>
      </c>
    </row>
    <row r="2628" spans="1:8" x14ac:dyDescent="0.25">
      <c r="A2628" s="4" t="str">
        <f>"CHOPE ROLL THE DICE   - ESTOQUE "</f>
        <v xml:space="preserve">CHOPE ROLL THE DICE   - ESTOQUE </v>
      </c>
      <c r="B2628" s="4" t="s">
        <v>275</v>
      </c>
      <c r="D2628" s="5">
        <v>18.899999999999999</v>
      </c>
      <c r="F2628" s="4" t="s">
        <v>59</v>
      </c>
      <c r="G2628" s="4" t="s">
        <v>1903</v>
      </c>
      <c r="H2628" s="6" t="s">
        <v>11</v>
      </c>
    </row>
    <row r="2629" spans="1:8" x14ac:dyDescent="0.25">
      <c r="A2629" s="4" t="str">
        <f>"CHOPE ROTHIRSCH -VIENNA LAGER  - ESTOQUE "</f>
        <v xml:space="preserve">CHOPE ROTHIRSCH -VIENNA LAGER  - ESTOQUE </v>
      </c>
      <c r="B2629" s="4" t="s">
        <v>275</v>
      </c>
      <c r="D2629" s="5">
        <v>24.06</v>
      </c>
      <c r="F2629" s="4" t="s">
        <v>59</v>
      </c>
      <c r="G2629" s="4" t="s">
        <v>1906</v>
      </c>
      <c r="H2629" s="6" t="s">
        <v>11</v>
      </c>
    </row>
    <row r="2630" spans="1:8" x14ac:dyDescent="0.25">
      <c r="A2630" s="4" t="str">
        <f>"CHOPE SCHERKLALALA - ESTOQUE "</f>
        <v xml:space="preserve">CHOPE SCHERKLALALA - ESTOQUE </v>
      </c>
      <c r="B2630" s="4" t="s">
        <v>275</v>
      </c>
      <c r="D2630" s="5">
        <v>15</v>
      </c>
      <c r="F2630" s="4" t="s">
        <v>59</v>
      </c>
      <c r="G2630" s="4" t="s">
        <v>1911</v>
      </c>
      <c r="H2630" s="6" t="s">
        <v>11</v>
      </c>
    </row>
    <row r="2631" spans="1:8" x14ac:dyDescent="0.25">
      <c r="A2631" s="4" t="s">
        <v>1912</v>
      </c>
      <c r="B2631" s="4" t="s">
        <v>275</v>
      </c>
      <c r="D2631" s="5">
        <v>18.5</v>
      </c>
      <c r="F2631" s="4" t="s">
        <v>59</v>
      </c>
      <c r="G2631" s="4" t="s">
        <v>1913</v>
      </c>
      <c r="H2631" s="6" t="s">
        <v>11</v>
      </c>
    </row>
    <row r="2632" spans="1:8" x14ac:dyDescent="0.25">
      <c r="A2632" s="4" t="str">
        <f>"CHOPE SIMPLE CHOICE  - ESTOQUE "</f>
        <v xml:space="preserve">CHOPE SIMPLE CHOICE  - ESTOQUE </v>
      </c>
      <c r="B2632" s="4" t="s">
        <v>275</v>
      </c>
      <c r="D2632" s="5">
        <v>17.899999999999999</v>
      </c>
      <c r="F2632" s="4" t="s">
        <v>59</v>
      </c>
      <c r="G2632" s="4" t="s">
        <v>1916</v>
      </c>
      <c r="H2632" s="6" t="s">
        <v>11</v>
      </c>
    </row>
    <row r="2633" spans="1:8" x14ac:dyDescent="0.25">
      <c r="A2633" s="4" t="s">
        <v>1918</v>
      </c>
      <c r="B2633" s="4" t="s">
        <v>275</v>
      </c>
      <c r="D2633" s="5">
        <v>22</v>
      </c>
      <c r="F2633" s="4" t="s">
        <v>59</v>
      </c>
      <c r="G2633" s="4" t="s">
        <v>1919</v>
      </c>
      <c r="H2633" s="6" t="s">
        <v>11</v>
      </c>
    </row>
    <row r="2634" spans="1:8" x14ac:dyDescent="0.25">
      <c r="A2634" s="4" t="str">
        <f>"CHOPE SMOOTH SIGHT   - ESTOQUE "</f>
        <v xml:space="preserve">CHOPE SMOOTH SIGHT   - ESTOQUE </v>
      </c>
      <c r="B2634" s="4" t="s">
        <v>275</v>
      </c>
      <c r="D2634" s="5">
        <v>21.5</v>
      </c>
      <c r="F2634" s="4" t="s">
        <v>59</v>
      </c>
      <c r="G2634" s="4" t="s">
        <v>1920</v>
      </c>
      <c r="H2634" s="6" t="s">
        <v>11</v>
      </c>
    </row>
    <row r="2635" spans="1:8" x14ac:dyDescent="0.25">
      <c r="A2635" s="4" t="str">
        <f>"CHOPE SOLAR VIBES - ESTOQUE "</f>
        <v xml:space="preserve">CHOPE SOLAR VIBES - ESTOQUE </v>
      </c>
      <c r="B2635" s="4" t="s">
        <v>275</v>
      </c>
      <c r="D2635" s="5">
        <v>9.64</v>
      </c>
      <c r="F2635" s="4" t="s">
        <v>59</v>
      </c>
      <c r="G2635" s="4" t="s">
        <v>1925</v>
      </c>
      <c r="H2635" s="6" t="s">
        <v>11</v>
      </c>
    </row>
    <row r="2636" spans="1:8" x14ac:dyDescent="0.25">
      <c r="A2636" s="4" t="str">
        <f>"CHOPE SPRING BREEZE - ESTOQUE "</f>
        <v xml:space="preserve">CHOPE SPRING BREEZE - ESTOQUE </v>
      </c>
      <c r="B2636" s="4" t="s">
        <v>275</v>
      </c>
      <c r="D2636" s="5">
        <v>17.5</v>
      </c>
      <c r="F2636" s="4" t="s">
        <v>59</v>
      </c>
      <c r="G2636" s="4" t="s">
        <v>1931</v>
      </c>
      <c r="H2636" s="6" t="s">
        <v>11</v>
      </c>
    </row>
    <row r="2637" spans="1:8" x14ac:dyDescent="0.25">
      <c r="A2637" s="4" t="s">
        <v>1932</v>
      </c>
      <c r="B2637" s="4" t="s">
        <v>275</v>
      </c>
      <c r="D2637" s="5">
        <v>17.5</v>
      </c>
      <c r="F2637" s="4" t="s">
        <v>59</v>
      </c>
      <c r="G2637" s="4" t="s">
        <v>1933</v>
      </c>
      <c r="H2637" s="6" t="s">
        <v>11</v>
      </c>
    </row>
    <row r="2638" spans="1:8" x14ac:dyDescent="0.25">
      <c r="A2638" s="4" t="str">
        <f>"CHOPE SUNRISE - ESTOQUE TAP "</f>
        <v xml:space="preserve">CHOPE SUNRISE - ESTOQUE TAP </v>
      </c>
      <c r="B2638" s="4" t="s">
        <v>275</v>
      </c>
      <c r="D2638" s="5">
        <v>19</v>
      </c>
      <c r="F2638" s="4" t="s">
        <v>59</v>
      </c>
      <c r="G2638" s="4" t="s">
        <v>1940</v>
      </c>
      <c r="H2638" s="6" t="s">
        <v>11</v>
      </c>
    </row>
    <row r="2639" spans="1:8" x14ac:dyDescent="0.25">
      <c r="A2639" s="4" t="s">
        <v>1945</v>
      </c>
      <c r="B2639" s="4" t="s">
        <v>275</v>
      </c>
      <c r="D2639" s="5">
        <v>16.78</v>
      </c>
      <c r="E2639" s="5">
        <v>60</v>
      </c>
      <c r="F2639" s="4" t="s">
        <v>59</v>
      </c>
      <c r="G2639" s="4" t="s">
        <v>1946</v>
      </c>
      <c r="H2639" s="6" t="s">
        <v>11</v>
      </c>
    </row>
    <row r="2640" spans="1:8" x14ac:dyDescent="0.25">
      <c r="A2640" s="4" t="s">
        <v>1950</v>
      </c>
      <c r="B2640" s="4" t="s">
        <v>275</v>
      </c>
      <c r="D2640" s="5">
        <v>22</v>
      </c>
      <c r="F2640" s="4" t="s">
        <v>59</v>
      </c>
      <c r="G2640" s="4" t="s">
        <v>1951</v>
      </c>
      <c r="H2640" s="6" t="s">
        <v>11</v>
      </c>
    </row>
    <row r="2641" spans="1:8" x14ac:dyDescent="0.25">
      <c r="A2641" s="4" t="s">
        <v>1952</v>
      </c>
      <c r="B2641" s="4" t="s">
        <v>275</v>
      </c>
      <c r="D2641" s="5">
        <v>22.5</v>
      </c>
      <c r="F2641" s="4" t="s">
        <v>59</v>
      </c>
      <c r="G2641" s="4" t="s">
        <v>1953</v>
      </c>
      <c r="H2641" s="6" t="s">
        <v>11</v>
      </c>
    </row>
    <row r="2642" spans="1:8" x14ac:dyDescent="0.25">
      <c r="A2642" s="4" t="s">
        <v>1954</v>
      </c>
      <c r="B2642" s="4" t="s">
        <v>275</v>
      </c>
      <c r="D2642" s="5">
        <v>22.84</v>
      </c>
      <c r="F2642" s="4" t="s">
        <v>59</v>
      </c>
      <c r="G2642" s="4" t="s">
        <v>1955</v>
      </c>
      <c r="H2642" s="6" t="s">
        <v>11</v>
      </c>
    </row>
    <row r="2643" spans="1:8" x14ac:dyDescent="0.25">
      <c r="A2643" s="4" t="str">
        <f>"CHOPE SWAMP - SESSION BITE  - ESTOQUE "</f>
        <v xml:space="preserve">CHOPE SWAMP - SESSION BITE  - ESTOQUE </v>
      </c>
      <c r="B2643" s="4" t="s">
        <v>275</v>
      </c>
      <c r="D2643" s="5">
        <v>21.49</v>
      </c>
      <c r="F2643" s="4" t="s">
        <v>59</v>
      </c>
      <c r="G2643" s="4" t="s">
        <v>1960</v>
      </c>
      <c r="H2643" s="6" t="s">
        <v>11</v>
      </c>
    </row>
    <row r="2644" spans="1:8" x14ac:dyDescent="0.25">
      <c r="A2644" s="4" t="s">
        <v>1967</v>
      </c>
      <c r="B2644" s="4" t="s">
        <v>275</v>
      </c>
      <c r="D2644" s="5">
        <v>21</v>
      </c>
      <c r="F2644" s="4" t="s">
        <v>59</v>
      </c>
      <c r="G2644" s="4" t="s">
        <v>1968</v>
      </c>
      <c r="H2644" s="6" t="s">
        <v>11</v>
      </c>
    </row>
    <row r="2645" spans="1:8" x14ac:dyDescent="0.25">
      <c r="A2645" s="4" t="s">
        <v>1973</v>
      </c>
      <c r="B2645" s="4" t="s">
        <v>275</v>
      </c>
      <c r="D2645" s="5">
        <v>20</v>
      </c>
      <c r="E2645" s="5">
        <v>-154.63</v>
      </c>
      <c r="F2645" s="4" t="s">
        <v>59</v>
      </c>
      <c r="G2645" s="4" t="s">
        <v>1974</v>
      </c>
      <c r="H2645" s="6" t="s">
        <v>11</v>
      </c>
    </row>
    <row r="2646" spans="1:8" x14ac:dyDescent="0.25">
      <c r="A2646" s="4" t="s">
        <v>1975</v>
      </c>
      <c r="B2646" s="4" t="s">
        <v>275</v>
      </c>
      <c r="D2646" s="5">
        <v>18.5</v>
      </c>
      <c r="F2646" s="4" t="s">
        <v>59</v>
      </c>
      <c r="G2646" s="4" t="s">
        <v>1976</v>
      </c>
      <c r="H2646" s="6" t="s">
        <v>11</v>
      </c>
    </row>
    <row r="2647" spans="1:8" x14ac:dyDescent="0.25">
      <c r="A2647" s="4" t="s">
        <v>1983</v>
      </c>
      <c r="B2647" s="4" t="s">
        <v>275</v>
      </c>
      <c r="D2647" s="5">
        <v>13.79</v>
      </c>
      <c r="F2647" s="4" t="s">
        <v>59</v>
      </c>
      <c r="G2647" s="4" t="s">
        <v>1984</v>
      </c>
      <c r="H2647" s="6" t="s">
        <v>11</v>
      </c>
    </row>
    <row r="2648" spans="1:8" x14ac:dyDescent="0.25">
      <c r="A2648" s="4" t="str">
        <f>"CHOPE SWAMP SUMMER SESSION IPA - ESTOQUE TAP "</f>
        <v xml:space="preserve">CHOPE SWAMP SUMMER SESSION IPA - ESTOQUE TAP </v>
      </c>
      <c r="B2648" s="4" t="s">
        <v>275</v>
      </c>
      <c r="D2648" s="5">
        <v>15.16</v>
      </c>
      <c r="F2648" s="4" t="s">
        <v>59</v>
      </c>
      <c r="G2648" s="4" t="s">
        <v>1993</v>
      </c>
      <c r="H2648" s="6" t="s">
        <v>11</v>
      </c>
    </row>
    <row r="2649" spans="1:8" x14ac:dyDescent="0.25">
      <c r="A2649" s="4" t="str">
        <f>"CHOPE SWAMP WIPE OUT - ESTOQUE TAP "</f>
        <v xml:space="preserve">CHOPE SWAMP WIPE OUT - ESTOQUE TAP </v>
      </c>
      <c r="B2649" s="4" t="s">
        <v>275</v>
      </c>
      <c r="D2649" s="5">
        <v>27</v>
      </c>
      <c r="F2649" s="4" t="s">
        <v>59</v>
      </c>
      <c r="G2649" s="4" t="s">
        <v>1996</v>
      </c>
      <c r="H2649" s="6" t="s">
        <v>11</v>
      </c>
    </row>
    <row r="2650" spans="1:8" x14ac:dyDescent="0.25">
      <c r="A2650" s="4" t="str">
        <f>"CHOPE TENESSE  - ESTOQUE "</f>
        <v xml:space="preserve">CHOPE TENESSE  - ESTOQUE </v>
      </c>
      <c r="B2650" s="4" t="s">
        <v>275</v>
      </c>
      <c r="D2650" s="5">
        <v>16.899999999999999</v>
      </c>
      <c r="F2650" s="4" t="s">
        <v>59</v>
      </c>
      <c r="G2650" s="4" t="s">
        <v>1997</v>
      </c>
      <c r="H2650" s="6" t="s">
        <v>11</v>
      </c>
    </row>
    <row r="2651" spans="1:8" x14ac:dyDescent="0.25">
      <c r="A2651" s="4" t="s">
        <v>2000</v>
      </c>
      <c r="B2651" s="4" t="s">
        <v>275</v>
      </c>
      <c r="D2651" s="5">
        <v>22</v>
      </c>
      <c r="F2651" s="4" t="s">
        <v>59</v>
      </c>
      <c r="G2651" s="4" t="s">
        <v>2001</v>
      </c>
      <c r="H2651" s="6" t="s">
        <v>11</v>
      </c>
    </row>
    <row r="2652" spans="1:8" x14ac:dyDescent="0.25">
      <c r="A2652" s="4" t="s">
        <v>2002</v>
      </c>
      <c r="B2652" s="4" t="s">
        <v>275</v>
      </c>
      <c r="D2652" s="5">
        <v>19.8</v>
      </c>
      <c r="F2652" s="4" t="s">
        <v>59</v>
      </c>
      <c r="G2652" s="4" t="s">
        <v>2003</v>
      </c>
      <c r="H2652" s="6" t="s">
        <v>11</v>
      </c>
    </row>
    <row r="2653" spans="1:8" x14ac:dyDescent="0.25">
      <c r="A2653" s="4" t="str">
        <f>"CHOPE TERRAÇO HIPERTIMESIA - ESTOQUE "</f>
        <v xml:space="preserve">CHOPE TERRAÇO HIPERTIMESIA - ESTOQUE </v>
      </c>
      <c r="B2653" s="4" t="s">
        <v>275</v>
      </c>
      <c r="D2653" s="5">
        <v>17.899999999999999</v>
      </c>
      <c r="F2653" s="4" t="s">
        <v>59</v>
      </c>
      <c r="G2653" s="4" t="s">
        <v>2011</v>
      </c>
      <c r="H2653" s="6" t="s">
        <v>11</v>
      </c>
    </row>
    <row r="2654" spans="1:8" x14ac:dyDescent="0.25">
      <c r="A2654" s="4" t="str">
        <f>"CHOPE THE CLOUD AURA - ESTOQUE "</f>
        <v xml:space="preserve">CHOPE THE CLOUD AURA - ESTOQUE </v>
      </c>
      <c r="B2654" s="4" t="s">
        <v>275</v>
      </c>
      <c r="D2654" s="5">
        <v>22.9</v>
      </c>
      <c r="E2654" s="5">
        <v>30</v>
      </c>
      <c r="F2654" s="4" t="s">
        <v>59</v>
      </c>
      <c r="G2654" s="4" t="s">
        <v>2014</v>
      </c>
      <c r="H2654" s="6" t="s">
        <v>11</v>
      </c>
    </row>
    <row r="2655" spans="1:8" x14ac:dyDescent="0.25">
      <c r="A2655" s="4" t="str">
        <f>"CHOPE THE NEW KIDDO- ESTOQUE TAP "</f>
        <v xml:space="preserve">CHOPE THE NEW KIDDO- ESTOQUE TAP </v>
      </c>
      <c r="B2655" s="4" t="s">
        <v>275</v>
      </c>
      <c r="D2655" s="5">
        <v>17.48</v>
      </c>
      <c r="F2655" s="4" t="s">
        <v>59</v>
      </c>
      <c r="G2655" s="4" t="s">
        <v>2019</v>
      </c>
      <c r="H2655" s="6" t="s">
        <v>11</v>
      </c>
    </row>
    <row r="2656" spans="1:8" x14ac:dyDescent="0.25">
      <c r="A2656" s="4" t="s">
        <v>2026</v>
      </c>
      <c r="B2656" s="4" t="s">
        <v>275</v>
      </c>
      <c r="D2656" s="5">
        <v>22.23</v>
      </c>
      <c r="F2656" s="4" t="s">
        <v>59</v>
      </c>
      <c r="G2656" s="4" t="s">
        <v>2027</v>
      </c>
      <c r="H2656" s="6" t="s">
        <v>11</v>
      </c>
    </row>
    <row r="2657" spans="1:8" x14ac:dyDescent="0.25">
      <c r="A2657" s="4" t="s">
        <v>2032</v>
      </c>
      <c r="B2657" s="4" t="s">
        <v>275</v>
      </c>
      <c r="D2657" s="5">
        <v>14.26</v>
      </c>
      <c r="F2657" s="4" t="s">
        <v>59</v>
      </c>
      <c r="G2657" s="4" t="s">
        <v>2033</v>
      </c>
      <c r="H2657" s="6" t="s">
        <v>11</v>
      </c>
    </row>
    <row r="2658" spans="1:8" x14ac:dyDescent="0.25">
      <c r="A2658" s="4" t="str">
        <f>"CHOPE TURBINA ENGLISH IPA - ESTOQUE TAP "</f>
        <v xml:space="preserve">CHOPE TURBINA ENGLISH IPA - ESTOQUE TAP </v>
      </c>
      <c r="B2658" s="4" t="s">
        <v>275</v>
      </c>
      <c r="D2658" s="5">
        <v>25</v>
      </c>
      <c r="F2658" s="4" t="s">
        <v>59</v>
      </c>
      <c r="G2658" s="4" t="s">
        <v>2034</v>
      </c>
      <c r="H2658" s="6" t="s">
        <v>11</v>
      </c>
    </row>
    <row r="2659" spans="1:8" x14ac:dyDescent="0.25">
      <c r="A2659" s="4" t="str">
        <f>"CHOPE TURBINADA  BELGIAN BLOND ALE  - ESTOQUE "</f>
        <v xml:space="preserve">CHOPE TURBINADA  BELGIAN BLOND ALE  - ESTOQUE </v>
      </c>
      <c r="B2659" s="4" t="s">
        <v>275</v>
      </c>
      <c r="D2659" s="5">
        <v>13.97</v>
      </c>
      <c r="F2659" s="4" t="s">
        <v>59</v>
      </c>
      <c r="G2659" s="4" t="s">
        <v>2035</v>
      </c>
      <c r="H2659" s="6" t="s">
        <v>11</v>
      </c>
    </row>
    <row r="2660" spans="1:8" x14ac:dyDescent="0.25">
      <c r="A2660" s="4" t="str">
        <f>"CHOPE TURBINADA AMERICAN BLACK IPA - ESTOQUE "</f>
        <v xml:space="preserve">CHOPE TURBINADA AMERICAN BLACK IPA - ESTOQUE </v>
      </c>
      <c r="B2660" s="4" t="s">
        <v>275</v>
      </c>
      <c r="D2660" s="5">
        <v>26.33</v>
      </c>
      <c r="F2660" s="4" t="s">
        <v>59</v>
      </c>
      <c r="G2660" s="4" t="s">
        <v>2041</v>
      </c>
      <c r="H2660" s="6" t="s">
        <v>11</v>
      </c>
    </row>
    <row r="2661" spans="1:8" x14ac:dyDescent="0.25">
      <c r="A2661" s="4" t="str">
        <f>"CHOPE TURBINADA DOUBLE BROWN - ESTOQUE TAP "</f>
        <v xml:space="preserve">CHOPE TURBINADA DOUBLE BROWN - ESTOQUE TAP </v>
      </c>
      <c r="B2661" s="4" t="s">
        <v>275</v>
      </c>
      <c r="D2661" s="5">
        <v>16.5</v>
      </c>
      <c r="F2661" s="4" t="s">
        <v>59</v>
      </c>
      <c r="G2661" s="4" t="s">
        <v>2049</v>
      </c>
      <c r="H2661" s="6" t="s">
        <v>11</v>
      </c>
    </row>
    <row r="2662" spans="1:8" x14ac:dyDescent="0.25">
      <c r="A2662" s="4" t="str">
        <f>"CHOPE TURBINADA DOUBLE IPA - ESTOQUE "</f>
        <v xml:space="preserve">CHOPE TURBINADA DOUBLE IPA - ESTOQUE </v>
      </c>
      <c r="B2662" s="4" t="s">
        <v>275</v>
      </c>
      <c r="D2662" s="5">
        <v>24.5</v>
      </c>
      <c r="F2662" s="4" t="s">
        <v>59</v>
      </c>
      <c r="G2662" s="4" t="s">
        <v>2054</v>
      </c>
      <c r="H2662" s="6" t="s">
        <v>11</v>
      </c>
    </row>
    <row r="2663" spans="1:8" x14ac:dyDescent="0.25">
      <c r="A2663" s="4" t="str">
        <f>"CHOPE TURBINADA DUNKEL - ESTOQUE TAP "</f>
        <v xml:space="preserve">CHOPE TURBINADA DUNKEL - ESTOQUE TAP </v>
      </c>
      <c r="B2663" s="4" t="s">
        <v>275</v>
      </c>
      <c r="D2663" s="5">
        <v>13.4</v>
      </c>
      <c r="F2663" s="4" t="s">
        <v>59</v>
      </c>
      <c r="G2663" s="4" t="s">
        <v>2055</v>
      </c>
      <c r="H2663" s="6" t="s">
        <v>11</v>
      </c>
    </row>
    <row r="2664" spans="1:8" x14ac:dyDescent="0.25">
      <c r="A2664" s="4" t="str">
        <f>"CHOPE TURBINADA ENGLISH IPA - ESTOQUE TAP "</f>
        <v xml:space="preserve">CHOPE TURBINADA ENGLISH IPA - ESTOQUE TAP </v>
      </c>
      <c r="B2664" s="4" t="s">
        <v>275</v>
      </c>
      <c r="D2664" s="5">
        <v>25</v>
      </c>
      <c r="F2664" s="4" t="s">
        <v>59</v>
      </c>
      <c r="G2664" s="4" t="s">
        <v>2059</v>
      </c>
      <c r="H2664" s="6" t="s">
        <v>11</v>
      </c>
    </row>
    <row r="2665" spans="1:8" x14ac:dyDescent="0.25">
      <c r="A2665" s="4" t="s">
        <v>2064</v>
      </c>
      <c r="B2665" s="4" t="s">
        <v>275</v>
      </c>
      <c r="D2665" s="5">
        <v>15.5</v>
      </c>
      <c r="F2665" s="4" t="s">
        <v>59</v>
      </c>
      <c r="G2665" s="4" t="s">
        <v>2065</v>
      </c>
      <c r="H2665" s="6" t="s">
        <v>11</v>
      </c>
    </row>
    <row r="2666" spans="1:8" x14ac:dyDescent="0.25">
      <c r="A2666" s="4" t="str">
        <f>"CHOPE TURBINADA STOUT - ESTOQUE  TAP "</f>
        <v xml:space="preserve">CHOPE TURBINADA STOUT - ESTOQUE  TAP </v>
      </c>
      <c r="B2666" s="4" t="s">
        <v>275</v>
      </c>
      <c r="D2666" s="5">
        <v>16.5</v>
      </c>
      <c r="F2666" s="4" t="s">
        <v>59</v>
      </c>
      <c r="G2666" s="4" t="s">
        <v>2066</v>
      </c>
      <c r="H2666" s="6" t="s">
        <v>11</v>
      </c>
    </row>
    <row r="2667" spans="1:8" x14ac:dyDescent="0.25">
      <c r="A2667" s="4" t="s">
        <v>2071</v>
      </c>
      <c r="B2667" s="4" t="s">
        <v>275</v>
      </c>
      <c r="D2667" s="5">
        <v>12.75</v>
      </c>
      <c r="E2667" s="5">
        <v>90</v>
      </c>
      <c r="F2667" s="4" t="s">
        <v>59</v>
      </c>
      <c r="G2667" s="4" t="s">
        <v>2072</v>
      </c>
      <c r="H2667" s="6" t="s">
        <v>11</v>
      </c>
    </row>
    <row r="2668" spans="1:8" x14ac:dyDescent="0.25">
      <c r="A2668" s="4" t="s">
        <v>2073</v>
      </c>
      <c r="B2668" s="4" t="s">
        <v>275</v>
      </c>
      <c r="D2668" s="5">
        <v>16</v>
      </c>
      <c r="F2668" s="4" t="s">
        <v>59</v>
      </c>
      <c r="G2668" s="4" t="s">
        <v>2074</v>
      </c>
      <c r="H2668" s="6" t="s">
        <v>11</v>
      </c>
    </row>
    <row r="2669" spans="1:8" x14ac:dyDescent="0.25">
      <c r="A2669" s="4" t="str">
        <f>"CHOPE TYR ESB  - ESTOQUE "</f>
        <v xml:space="preserve">CHOPE TYR ESB  - ESTOQUE </v>
      </c>
      <c r="B2669" s="4" t="s">
        <v>275</v>
      </c>
      <c r="D2669" s="5">
        <v>16.399999999999999</v>
      </c>
      <c r="F2669" s="4" t="s">
        <v>59</v>
      </c>
      <c r="G2669" s="4" t="s">
        <v>2076</v>
      </c>
      <c r="H2669" s="6" t="s">
        <v>11</v>
      </c>
    </row>
    <row r="2670" spans="1:8" x14ac:dyDescent="0.25">
      <c r="A2670" s="4" t="str">
        <f>"CHOPE UNDER CALMNESS - ESTOQUE "</f>
        <v xml:space="preserve">CHOPE UNDER CALMNESS - ESTOQUE </v>
      </c>
      <c r="B2670" s="4" t="s">
        <v>275</v>
      </c>
      <c r="D2670" s="5">
        <v>17.899999999999999</v>
      </c>
      <c r="F2670" s="4" t="s">
        <v>59</v>
      </c>
      <c r="G2670" s="4" t="s">
        <v>2082</v>
      </c>
      <c r="H2670" s="6" t="s">
        <v>11</v>
      </c>
    </row>
    <row r="2671" spans="1:8" x14ac:dyDescent="0.25">
      <c r="A2671" s="4" t="s">
        <v>2083</v>
      </c>
      <c r="B2671" s="4" t="s">
        <v>275</v>
      </c>
      <c r="D2671" s="5">
        <v>22.99</v>
      </c>
      <c r="F2671" s="4" t="s">
        <v>59</v>
      </c>
      <c r="G2671" s="4" t="s">
        <v>2084</v>
      </c>
      <c r="H2671" s="6" t="s">
        <v>11</v>
      </c>
    </row>
    <row r="2672" spans="1:8" x14ac:dyDescent="0.25">
      <c r="A2672" s="4" t="str">
        <f>"CHOPE VAN DUTCH 5 ANOS  - ESTOQUE "</f>
        <v xml:space="preserve">CHOPE VAN DUTCH 5 ANOS  - ESTOQUE </v>
      </c>
      <c r="B2672" s="4" t="s">
        <v>275</v>
      </c>
      <c r="D2672" s="5">
        <v>19.02</v>
      </c>
      <c r="F2672" s="4" t="s">
        <v>59</v>
      </c>
      <c r="G2672" s="4" t="s">
        <v>2093</v>
      </c>
      <c r="H2672" s="6" t="s">
        <v>11</v>
      </c>
    </row>
    <row r="2673" spans="1:8" x14ac:dyDescent="0.25">
      <c r="A2673" s="4" t="str">
        <f>"CHOPE VAN DUTCH 6 ANOS AMERICAN IPA - ESTOQUE TAP "</f>
        <v xml:space="preserve">CHOPE VAN DUTCH 6 ANOS AMERICAN IPA - ESTOQUE TAP </v>
      </c>
      <c r="B2673" s="4" t="s">
        <v>275</v>
      </c>
      <c r="D2673" s="5">
        <v>19.2</v>
      </c>
      <c r="F2673" s="4" t="s">
        <v>59</v>
      </c>
      <c r="G2673" s="4" t="s">
        <v>2097</v>
      </c>
      <c r="H2673" s="6" t="s">
        <v>11</v>
      </c>
    </row>
    <row r="2674" spans="1:8" x14ac:dyDescent="0.25">
      <c r="A2674" s="4" t="s">
        <v>2098</v>
      </c>
      <c r="B2674" s="4" t="s">
        <v>275</v>
      </c>
      <c r="D2674" s="5">
        <v>19.600000000000001</v>
      </c>
      <c r="F2674" s="4" t="s">
        <v>59</v>
      </c>
      <c r="G2674" s="4" t="s">
        <v>2099</v>
      </c>
      <c r="H2674" s="6" t="s">
        <v>11</v>
      </c>
    </row>
    <row r="2675" spans="1:8" x14ac:dyDescent="0.25">
      <c r="A2675" s="4" t="str">
        <f>"CHOPE VAN DUTCH THUNDER DOPPELBOCK - ESTOQUE TAP "</f>
        <v xml:space="preserve">CHOPE VAN DUTCH THUNDER DOPPELBOCK - ESTOQUE TAP </v>
      </c>
      <c r="B2675" s="4" t="s">
        <v>275</v>
      </c>
      <c r="D2675" s="5">
        <v>22.5</v>
      </c>
      <c r="F2675" s="4" t="s">
        <v>59</v>
      </c>
      <c r="G2675" s="4" t="s">
        <v>2103</v>
      </c>
      <c r="H2675" s="6" t="s">
        <v>11</v>
      </c>
    </row>
    <row r="2676" spans="1:8" x14ac:dyDescent="0.25">
      <c r="A2676" s="4" t="s">
        <v>2104</v>
      </c>
      <c r="B2676" s="4" t="s">
        <v>275</v>
      </c>
      <c r="D2676" s="5">
        <v>18.77</v>
      </c>
      <c r="F2676" s="4" t="s">
        <v>59</v>
      </c>
      <c r="G2676" s="4" t="s">
        <v>2105</v>
      </c>
      <c r="H2676" s="6" t="s">
        <v>11</v>
      </c>
    </row>
    <row r="2677" spans="1:8" x14ac:dyDescent="0.25">
      <c r="A2677" s="4" t="str">
        <f>"CHOPE WAMAHOY - BELGIAN BLOND - ESTOQUE "</f>
        <v xml:space="preserve">CHOPE WAMAHOY - BELGIAN BLOND - ESTOQUE </v>
      </c>
      <c r="B2677" s="4" t="s">
        <v>275</v>
      </c>
      <c r="D2677" s="5">
        <v>17.760000000000002</v>
      </c>
      <c r="F2677" s="4" t="s">
        <v>59</v>
      </c>
      <c r="G2677" s="4" t="s">
        <v>2116</v>
      </c>
      <c r="H2677" s="6" t="s">
        <v>11</v>
      </c>
    </row>
    <row r="2678" spans="1:8" x14ac:dyDescent="0.25">
      <c r="A2678" s="4" t="s">
        <v>2118</v>
      </c>
      <c r="B2678" s="4" t="s">
        <v>275</v>
      </c>
      <c r="D2678" s="5">
        <v>18.579999999999998</v>
      </c>
      <c r="E2678" s="5">
        <v>-21.67</v>
      </c>
      <c r="F2678" s="4" t="s">
        <v>59</v>
      </c>
      <c r="G2678" s="4" t="s">
        <v>2119</v>
      </c>
      <c r="H2678" s="6" t="s">
        <v>11</v>
      </c>
    </row>
    <row r="2679" spans="1:8" x14ac:dyDescent="0.25">
      <c r="A2679" s="4" t="str">
        <f>"CHOPE WAMAHOY - EXTRA STOUT- ESTOQUE "</f>
        <v xml:space="preserve">CHOPE WAMAHOY - EXTRA STOUT- ESTOQUE </v>
      </c>
      <c r="B2679" s="4" t="s">
        <v>275</v>
      </c>
      <c r="D2679" s="5">
        <v>18.16</v>
      </c>
      <c r="F2679" s="4" t="s">
        <v>59</v>
      </c>
      <c r="G2679" s="4" t="s">
        <v>2123</v>
      </c>
      <c r="H2679" s="6" t="s">
        <v>11</v>
      </c>
    </row>
    <row r="2680" spans="1:8" x14ac:dyDescent="0.25">
      <c r="A2680" s="4" t="s">
        <v>2127</v>
      </c>
      <c r="B2680" s="4" t="s">
        <v>275</v>
      </c>
      <c r="D2680" s="5">
        <v>17.149999999999999</v>
      </c>
      <c r="F2680" s="4" t="s">
        <v>59</v>
      </c>
      <c r="G2680" s="4" t="s">
        <v>2128</v>
      </c>
      <c r="H2680" s="6" t="s">
        <v>11</v>
      </c>
    </row>
    <row r="2681" spans="1:8" x14ac:dyDescent="0.25">
      <c r="A2681" s="4" t="str">
        <f>"CHOPE WAMAHOY - NEIPA - ESTOQUE "</f>
        <v xml:space="preserve">CHOPE WAMAHOY - NEIPA - ESTOQUE </v>
      </c>
      <c r="B2681" s="4" t="s">
        <v>275</v>
      </c>
      <c r="D2681" s="5">
        <v>17.760000000000002</v>
      </c>
      <c r="F2681" s="4" t="s">
        <v>59</v>
      </c>
      <c r="G2681" s="4" t="s">
        <v>2133</v>
      </c>
      <c r="H2681" s="6" t="s">
        <v>11</v>
      </c>
    </row>
    <row r="2682" spans="1:8" x14ac:dyDescent="0.25">
      <c r="A2682" s="4" t="str">
        <f>"CHOPE WAMAHOY AUSTRALIAN IPA - ESTOQUE "</f>
        <v xml:space="preserve">CHOPE WAMAHOY AUSTRALIAN IPA - ESTOQUE </v>
      </c>
      <c r="B2682" s="4" t="s">
        <v>275</v>
      </c>
      <c r="D2682" s="5">
        <v>17.760000000000002</v>
      </c>
      <c r="F2682" s="4" t="s">
        <v>59</v>
      </c>
      <c r="G2682" s="4" t="s">
        <v>2137</v>
      </c>
      <c r="H2682" s="6" t="s">
        <v>11</v>
      </c>
    </row>
    <row r="2683" spans="1:8" x14ac:dyDescent="0.25">
      <c r="A2683" s="4" t="s">
        <v>2138</v>
      </c>
      <c r="B2683" s="4" t="s">
        <v>275</v>
      </c>
      <c r="D2683" s="5">
        <v>16.07</v>
      </c>
      <c r="F2683" s="4" t="s">
        <v>59</v>
      </c>
      <c r="G2683" s="4" t="s">
        <v>2139</v>
      </c>
      <c r="H2683" s="6" t="s">
        <v>11</v>
      </c>
    </row>
    <row r="2684" spans="1:8" x14ac:dyDescent="0.25">
      <c r="A2684" s="4" t="s">
        <v>2142</v>
      </c>
      <c r="B2684" s="4" t="s">
        <v>275</v>
      </c>
      <c r="D2684" s="5">
        <v>10.91</v>
      </c>
      <c r="F2684" s="4" t="s">
        <v>59</v>
      </c>
      <c r="G2684" s="4" t="s">
        <v>2143</v>
      </c>
      <c r="H2684" s="6" t="s">
        <v>11</v>
      </c>
    </row>
    <row r="2685" spans="1:8" x14ac:dyDescent="0.25">
      <c r="A2685" s="4" t="str">
        <f>"CHOPE WHITE CHOCOLAT STOUT- ESTOQUE "</f>
        <v xml:space="preserve">CHOPE WHITE CHOCOLAT STOUT- ESTOQUE </v>
      </c>
      <c r="B2685" s="4" t="s">
        <v>275</v>
      </c>
      <c r="D2685" s="5">
        <v>15.9</v>
      </c>
      <c r="F2685" s="4" t="s">
        <v>59</v>
      </c>
      <c r="G2685" s="4" t="s">
        <v>2152</v>
      </c>
      <c r="H2685" s="6" t="s">
        <v>11</v>
      </c>
    </row>
    <row r="2686" spans="1:8" x14ac:dyDescent="0.25">
      <c r="A2686" s="4" t="s">
        <v>2156</v>
      </c>
      <c r="B2686" s="4" t="s">
        <v>275</v>
      </c>
      <c r="D2686" s="5">
        <v>21.9</v>
      </c>
      <c r="F2686" s="4" t="s">
        <v>59</v>
      </c>
      <c r="G2686" s="4" t="s">
        <v>2157</v>
      </c>
      <c r="H2686" s="6" t="s">
        <v>11</v>
      </c>
    </row>
    <row r="2687" spans="1:8" x14ac:dyDescent="0.25">
      <c r="A2687" s="4" t="s">
        <v>2162</v>
      </c>
      <c r="B2687" s="4" t="s">
        <v>275</v>
      </c>
      <c r="D2687" s="5">
        <v>14.05</v>
      </c>
      <c r="E2687" s="5">
        <v>60</v>
      </c>
      <c r="F2687" s="4" t="s">
        <v>59</v>
      </c>
      <c r="G2687" s="4" t="s">
        <v>2163</v>
      </c>
      <c r="H2687" s="6" t="s">
        <v>11</v>
      </c>
    </row>
    <row r="2688" spans="1:8" x14ac:dyDescent="0.25">
      <c r="A2688" s="4" t="s">
        <v>2166</v>
      </c>
      <c r="B2688" s="4" t="s">
        <v>275</v>
      </c>
      <c r="D2688" s="5">
        <v>19.399999999999999</v>
      </c>
      <c r="F2688" s="4" t="s">
        <v>59</v>
      </c>
      <c r="G2688" s="4" t="s">
        <v>2167</v>
      </c>
      <c r="H2688" s="6" t="s">
        <v>11</v>
      </c>
    </row>
    <row r="2689" spans="1:8" x14ac:dyDescent="0.25">
      <c r="A2689" s="4" t="str">
        <f>"CHOPE XAMA ARTE RESISTE - ESTOQUE TAP "</f>
        <v xml:space="preserve">CHOPE XAMA ARTE RESISTE - ESTOQUE TAP </v>
      </c>
      <c r="B2689" s="4" t="s">
        <v>275</v>
      </c>
      <c r="D2689" s="5">
        <v>20.9</v>
      </c>
      <c r="F2689" s="4" t="s">
        <v>59</v>
      </c>
      <c r="G2689" s="4" t="s">
        <v>2172</v>
      </c>
      <c r="H2689" s="6" t="s">
        <v>11</v>
      </c>
    </row>
    <row r="2690" spans="1:8" x14ac:dyDescent="0.25">
      <c r="A2690" s="4" t="str">
        <f>"CHOPE XAMA CUIETÉ - ESTOQUE "</f>
        <v xml:space="preserve">CHOPE XAMA CUIETÉ - ESTOQUE </v>
      </c>
      <c r="B2690" s="4" t="s">
        <v>275</v>
      </c>
      <c r="D2690" s="5">
        <v>17.899999999999999</v>
      </c>
      <c r="F2690" s="4" t="s">
        <v>59</v>
      </c>
      <c r="G2690" s="4" t="s">
        <v>2179</v>
      </c>
      <c r="H2690" s="6" t="s">
        <v>11</v>
      </c>
    </row>
    <row r="2691" spans="1:8" x14ac:dyDescent="0.25">
      <c r="A2691" s="4" t="str">
        <f>"CHOPE XAMA ENLACE  MERLOT - ESTOQUE "</f>
        <v xml:space="preserve">CHOPE XAMA ENLACE  MERLOT - ESTOQUE </v>
      </c>
      <c r="B2691" s="4" t="s">
        <v>275</v>
      </c>
      <c r="D2691" s="5">
        <v>750</v>
      </c>
      <c r="F2691" s="4" t="s">
        <v>59</v>
      </c>
      <c r="G2691" s="4" t="s">
        <v>2180</v>
      </c>
      <c r="H2691" s="6" t="s">
        <v>11</v>
      </c>
    </row>
    <row r="2692" spans="1:8" x14ac:dyDescent="0.25">
      <c r="A2692" s="4" t="str">
        <f>"CHOPE XAMA FRUTAS AMARELAS - ESTOQUE "</f>
        <v xml:space="preserve">CHOPE XAMA FRUTAS AMARELAS - ESTOQUE </v>
      </c>
      <c r="B2692" s="4" t="s">
        <v>275</v>
      </c>
      <c r="D2692" s="5">
        <v>19.399999999999999</v>
      </c>
      <c r="F2692" s="4" t="s">
        <v>59</v>
      </c>
      <c r="G2692" s="4" t="s">
        <v>2187</v>
      </c>
      <c r="H2692" s="6" t="s">
        <v>11</v>
      </c>
    </row>
    <row r="2693" spans="1:8" x14ac:dyDescent="0.25">
      <c r="A2693" s="4" t="str">
        <f>"CHOPE XAMA MALANA TERP NEIPA - ESTOQUE TAP "</f>
        <v xml:space="preserve">CHOPE XAMA MALANA TERP NEIPA - ESTOQUE TAP </v>
      </c>
      <c r="B2693" s="4" t="s">
        <v>275</v>
      </c>
      <c r="D2693" s="5">
        <v>20.7</v>
      </c>
      <c r="F2693" s="4" t="s">
        <v>59</v>
      </c>
      <c r="G2693" s="4" t="s">
        <v>2188</v>
      </c>
      <c r="H2693" s="6" t="s">
        <v>11</v>
      </c>
    </row>
    <row r="2694" spans="1:8" x14ac:dyDescent="0.25">
      <c r="A2694" s="4" t="str">
        <f>"CHOPE XAMA NECTAR HOP LAGER - ESTOQUE TAP "</f>
        <v xml:space="preserve">CHOPE XAMA NECTAR HOP LAGER - ESTOQUE TAP </v>
      </c>
      <c r="B2694" s="4" t="s">
        <v>275</v>
      </c>
      <c r="D2694" s="5">
        <v>14.9</v>
      </c>
      <c r="F2694" s="4" t="s">
        <v>59</v>
      </c>
      <c r="G2694" s="4" t="s">
        <v>2195</v>
      </c>
      <c r="H2694" s="6" t="s">
        <v>11</v>
      </c>
    </row>
    <row r="2695" spans="1:8" x14ac:dyDescent="0.25">
      <c r="A2695" s="4" t="s">
        <v>2211</v>
      </c>
      <c r="B2695" s="4" t="s">
        <v>275</v>
      </c>
      <c r="F2695" s="4" t="s">
        <v>59</v>
      </c>
      <c r="G2695" s="4" t="s">
        <v>2212</v>
      </c>
      <c r="H2695" s="6" t="s">
        <v>11</v>
      </c>
    </row>
    <row r="2696" spans="1:8" x14ac:dyDescent="0.25">
      <c r="A2696" s="4" t="s">
        <v>2213</v>
      </c>
      <c r="B2696" s="4" t="s">
        <v>275</v>
      </c>
      <c r="D2696" s="5">
        <v>9.64</v>
      </c>
      <c r="F2696" s="4" t="s">
        <v>59</v>
      </c>
      <c r="G2696" s="4" t="s">
        <v>2214</v>
      </c>
      <c r="H2696" s="6" t="s">
        <v>11</v>
      </c>
    </row>
    <row r="2697" spans="1:8" x14ac:dyDescent="0.25">
      <c r="A2697" s="4" t="s">
        <v>2215</v>
      </c>
      <c r="B2697" s="4" t="s">
        <v>275</v>
      </c>
      <c r="D2697" s="5">
        <v>18.5</v>
      </c>
      <c r="F2697" s="4" t="s">
        <v>59</v>
      </c>
      <c r="G2697" s="4" t="s">
        <v>2216</v>
      </c>
      <c r="H2697" s="6" t="s">
        <v>11</v>
      </c>
    </row>
    <row r="2698" spans="1:8" x14ac:dyDescent="0.25">
      <c r="A2698" s="4" t="s">
        <v>2220</v>
      </c>
      <c r="B2698" s="4" t="s">
        <v>275</v>
      </c>
      <c r="D2698" s="5">
        <v>17</v>
      </c>
      <c r="E2698" s="5">
        <v>-1.54</v>
      </c>
      <c r="F2698" s="4" t="s">
        <v>59</v>
      </c>
      <c r="G2698" s="4" t="s">
        <v>2221</v>
      </c>
      <c r="H2698" s="6" t="s">
        <v>11</v>
      </c>
    </row>
    <row r="2699" spans="1:8" x14ac:dyDescent="0.25">
      <c r="A2699" s="4" t="s">
        <v>2233</v>
      </c>
      <c r="B2699" s="4" t="s">
        <v>275</v>
      </c>
      <c r="D2699" s="5">
        <v>15.13</v>
      </c>
      <c r="F2699" s="4" t="s">
        <v>59</v>
      </c>
      <c r="G2699" s="4" t="s">
        <v>2234</v>
      </c>
      <c r="H2699" s="6" t="s">
        <v>11</v>
      </c>
    </row>
    <row r="2700" spans="1:8" x14ac:dyDescent="0.25">
      <c r="A2700" s="4" t="s">
        <v>2238</v>
      </c>
      <c r="B2700" s="4" t="s">
        <v>275</v>
      </c>
      <c r="D2700" s="5">
        <v>24</v>
      </c>
      <c r="F2700" s="4" t="s">
        <v>59</v>
      </c>
      <c r="G2700" s="4" t="s">
        <v>2239</v>
      </c>
      <c r="H2700" s="6" t="s">
        <v>11</v>
      </c>
    </row>
    <row r="2701" spans="1:8" x14ac:dyDescent="0.25">
      <c r="A2701" s="4" t="s">
        <v>2240</v>
      </c>
      <c r="B2701" s="4" t="s">
        <v>275</v>
      </c>
      <c r="D2701" s="5">
        <v>22</v>
      </c>
      <c r="F2701" s="4" t="s">
        <v>59</v>
      </c>
      <c r="G2701" s="4" t="s">
        <v>2241</v>
      </c>
      <c r="H2701" s="6" t="s">
        <v>11</v>
      </c>
    </row>
    <row r="2702" spans="1:8" x14ac:dyDescent="0.25">
      <c r="A2702" s="4" t="s">
        <v>2242</v>
      </c>
      <c r="B2702" s="4" t="s">
        <v>275</v>
      </c>
      <c r="D2702" s="5">
        <v>19.399999999999999</v>
      </c>
      <c r="F2702" s="4" t="s">
        <v>59</v>
      </c>
      <c r="G2702" s="4" t="s">
        <v>2243</v>
      </c>
      <c r="H2702" s="6" t="s">
        <v>11</v>
      </c>
    </row>
    <row r="2703" spans="1:8" x14ac:dyDescent="0.25">
      <c r="A2703" s="4" t="str">
        <f>"CHOPE YELLOW BIRD RED ALE  - ESTOQUE TAP "</f>
        <v xml:space="preserve">CHOPE YELLOW BIRD RED ALE  - ESTOQUE TAP </v>
      </c>
      <c r="B2703" s="4" t="s">
        <v>275</v>
      </c>
      <c r="D2703" s="5">
        <v>15.4</v>
      </c>
      <c r="F2703" s="4" t="s">
        <v>59</v>
      </c>
      <c r="G2703" s="4" t="s">
        <v>2250</v>
      </c>
      <c r="H2703" s="6" t="s">
        <v>11</v>
      </c>
    </row>
    <row r="2704" spans="1:8" x14ac:dyDescent="0.25">
      <c r="A2704" s="4" t="str">
        <f>"CHOPE YELLOW FUSION - ESTOQUE "</f>
        <v xml:space="preserve">CHOPE YELLOW FUSION - ESTOQUE </v>
      </c>
      <c r="B2704" s="4" t="s">
        <v>275</v>
      </c>
      <c r="D2704" s="5">
        <v>15.16</v>
      </c>
      <c r="F2704" s="4" t="s">
        <v>59</v>
      </c>
      <c r="G2704" s="4" t="s">
        <v>2251</v>
      </c>
      <c r="H2704" s="6" t="s">
        <v>11</v>
      </c>
    </row>
    <row r="2705" spans="1:8" x14ac:dyDescent="0.25">
      <c r="A2705" s="4" t="s">
        <v>2258</v>
      </c>
      <c r="B2705" s="4" t="s">
        <v>275</v>
      </c>
      <c r="D2705" s="5">
        <v>10.18</v>
      </c>
      <c r="E2705" s="5">
        <v>420</v>
      </c>
      <c r="F2705" s="4" t="s">
        <v>59</v>
      </c>
      <c r="G2705" s="4" t="s">
        <v>2259</v>
      </c>
      <c r="H2705" s="6" t="s">
        <v>11</v>
      </c>
    </row>
    <row r="2706" spans="1:8" x14ac:dyDescent="0.25">
      <c r="A2706" s="4" t="str">
        <f>"CHUTA ESSA MANGA  - ESTOQUE "</f>
        <v xml:space="preserve">CHUTA ESSA MANGA  - ESTOQUE </v>
      </c>
      <c r="B2706" s="4" t="s">
        <v>275</v>
      </c>
      <c r="D2706" s="5">
        <v>17</v>
      </c>
      <c r="F2706" s="4" t="s">
        <v>59</v>
      </c>
      <c r="G2706" s="4" t="s">
        <v>2273</v>
      </c>
      <c r="H2706" s="6" t="s">
        <v>11</v>
      </c>
    </row>
    <row r="2707" spans="1:8" x14ac:dyDescent="0.25">
      <c r="A2707" s="4" t="s">
        <v>2423</v>
      </c>
      <c r="B2707" s="4" t="s">
        <v>275</v>
      </c>
      <c r="D2707" s="5">
        <v>15.16</v>
      </c>
      <c r="F2707" s="4" t="s">
        <v>59</v>
      </c>
      <c r="G2707" s="4" t="s">
        <v>2424</v>
      </c>
      <c r="H2707" s="6" t="s">
        <v>11</v>
      </c>
    </row>
    <row r="2708" spans="1:8" x14ac:dyDescent="0.25">
      <c r="A2708" s="4" t="s">
        <v>2489</v>
      </c>
      <c r="B2708" s="4" t="s">
        <v>275</v>
      </c>
      <c r="D2708" s="5">
        <v>15.5</v>
      </c>
      <c r="F2708" s="4" t="s">
        <v>59</v>
      </c>
      <c r="G2708" s="4" t="s">
        <v>2490</v>
      </c>
      <c r="H2708" s="6" t="s">
        <v>11</v>
      </c>
    </row>
    <row r="2709" spans="1:8" x14ac:dyDescent="0.25">
      <c r="A2709" s="4" t="str">
        <f>"GOLDEN DAYS - ESTOQUE TAP "</f>
        <v xml:space="preserve">GOLDEN DAYS - ESTOQUE TAP </v>
      </c>
      <c r="B2709" s="4" t="s">
        <v>275</v>
      </c>
      <c r="D2709" s="5">
        <v>18</v>
      </c>
      <c r="F2709" s="4" t="s">
        <v>59</v>
      </c>
      <c r="G2709" s="4" t="s">
        <v>3148</v>
      </c>
      <c r="H2709" s="6" t="s">
        <v>11</v>
      </c>
    </row>
    <row r="2710" spans="1:8" x14ac:dyDescent="0.25">
      <c r="A2710" s="4" t="s">
        <v>3260</v>
      </c>
      <c r="B2710" s="4" t="s">
        <v>275</v>
      </c>
      <c r="F2710" s="4" t="s">
        <v>59</v>
      </c>
      <c r="G2710" s="4" t="s">
        <v>3261</v>
      </c>
      <c r="H2710" s="6" t="s">
        <v>11</v>
      </c>
    </row>
    <row r="2711" spans="1:8" x14ac:dyDescent="0.25">
      <c r="A2711" s="4" t="s">
        <v>3472</v>
      </c>
      <c r="B2711" s="4" t="s">
        <v>275</v>
      </c>
      <c r="D2711" s="5">
        <v>20.9</v>
      </c>
      <c r="F2711" s="4" t="s">
        <v>59</v>
      </c>
      <c r="G2711" s="4" t="s">
        <v>3473</v>
      </c>
      <c r="H2711" s="6" t="s">
        <v>11</v>
      </c>
    </row>
    <row r="2712" spans="1:8" x14ac:dyDescent="0.25">
      <c r="A2712" s="4" t="s">
        <v>3512</v>
      </c>
      <c r="B2712" s="4" t="s">
        <v>275</v>
      </c>
      <c r="D2712" s="5">
        <v>15.27</v>
      </c>
      <c r="F2712" s="4" t="s">
        <v>59</v>
      </c>
      <c r="G2712" s="4" t="s">
        <v>3513</v>
      </c>
      <c r="H2712" s="6" t="s">
        <v>11</v>
      </c>
    </row>
    <row r="2713" spans="1:8" x14ac:dyDescent="0.25">
      <c r="A2713" s="4" t="str">
        <f>"ORUN SIDRA  - ESTOQUE "</f>
        <v xml:space="preserve">ORUN SIDRA  - ESTOQUE </v>
      </c>
      <c r="B2713" s="4" t="s">
        <v>275</v>
      </c>
      <c r="F2713" s="4" t="s">
        <v>59</v>
      </c>
      <c r="G2713" s="4" t="s">
        <v>3959</v>
      </c>
      <c r="H2713" s="6" t="s">
        <v>11</v>
      </c>
    </row>
    <row r="2714" spans="1:8" x14ac:dyDescent="0.25">
      <c r="A2714" s="4" t="s">
        <v>4048</v>
      </c>
      <c r="B2714" s="4" t="s">
        <v>275</v>
      </c>
      <c r="D2714" s="5">
        <v>19.399999999999999</v>
      </c>
      <c r="F2714" s="4" t="s">
        <v>59</v>
      </c>
      <c r="G2714" s="4" t="s">
        <v>4049</v>
      </c>
      <c r="H2714" s="6" t="s">
        <v>11</v>
      </c>
    </row>
    <row r="2715" spans="1:8" x14ac:dyDescent="0.25">
      <c r="A2715" s="4" t="s">
        <v>4859</v>
      </c>
      <c r="B2715" s="4" t="s">
        <v>275</v>
      </c>
      <c r="D2715" s="5">
        <v>19.399999999999999</v>
      </c>
      <c r="F2715" s="4" t="s">
        <v>59</v>
      </c>
      <c r="G2715" s="4" t="s">
        <v>4860</v>
      </c>
      <c r="H2715" s="6" t="s">
        <v>11</v>
      </c>
    </row>
    <row r="2716" spans="1:8" x14ac:dyDescent="0.25">
      <c r="A2716" s="4" t="s">
        <v>4915</v>
      </c>
      <c r="B2716" s="4" t="s">
        <v>275</v>
      </c>
      <c r="F2716" s="4" t="s">
        <v>59</v>
      </c>
      <c r="G2716" s="4" t="s">
        <v>4916</v>
      </c>
      <c r="H2716" s="6" t="s">
        <v>11</v>
      </c>
    </row>
    <row r="2717" spans="1:8" x14ac:dyDescent="0.25">
      <c r="A2717" s="4" t="s">
        <v>4919</v>
      </c>
      <c r="B2717" s="4" t="s">
        <v>275</v>
      </c>
      <c r="D2717" s="5">
        <v>22.9</v>
      </c>
      <c r="F2717" s="4" t="s">
        <v>59</v>
      </c>
      <c r="G2717" s="4" t="s">
        <v>4920</v>
      </c>
      <c r="H2717" s="6" t="s">
        <v>11</v>
      </c>
    </row>
    <row r="2718" spans="1:8" x14ac:dyDescent="0.25">
      <c r="A2718" s="4" t="str">
        <f>"XP 086 WEST COAST - ESTOQUE TAP "</f>
        <v xml:space="preserve">XP 086 WEST COAST - ESTOQUE TAP </v>
      </c>
      <c r="B2718" s="4" t="s">
        <v>275</v>
      </c>
      <c r="D2718" s="5">
        <v>17.690000000000001</v>
      </c>
      <c r="F2718" s="4" t="s">
        <v>59</v>
      </c>
      <c r="G2718" s="4" t="s">
        <v>4924</v>
      </c>
      <c r="H2718" s="6" t="s">
        <v>11</v>
      </c>
    </row>
    <row r="2719" spans="1:8" x14ac:dyDescent="0.25">
      <c r="A2719" s="4" t="str">
        <f>"XP 088 DOUBLE IPA  - ESTOQUE TAP "</f>
        <v xml:space="preserve">XP 088 DOUBLE IPA  - ESTOQUE TAP </v>
      </c>
      <c r="B2719" s="4" t="s">
        <v>275</v>
      </c>
      <c r="D2719" s="5">
        <v>21.9</v>
      </c>
      <c r="F2719" s="4" t="s">
        <v>59</v>
      </c>
      <c r="G2719" s="4" t="s">
        <v>4927</v>
      </c>
      <c r="H2719" s="6" t="s">
        <v>11</v>
      </c>
    </row>
    <row r="2720" spans="1:8" x14ac:dyDescent="0.25">
      <c r="A2720" s="4" t="str">
        <f>"XP 090 BR ALE - ESTOQUE TAP "</f>
        <v xml:space="preserve">XP 090 BR ALE - ESTOQUE TAP </v>
      </c>
      <c r="B2720" s="4" t="s">
        <v>275</v>
      </c>
      <c r="D2720" s="5">
        <v>14.98</v>
      </c>
      <c r="F2720" s="4" t="s">
        <v>59</v>
      </c>
      <c r="G2720" s="4" t="s">
        <v>4930</v>
      </c>
      <c r="H2720" s="6" t="s">
        <v>11</v>
      </c>
    </row>
    <row r="2721" spans="1:8" x14ac:dyDescent="0.25">
      <c r="A2721" s="4" t="str">
        <f>"XP096 - SESSION IPA  SEM ÁLCOOL "</f>
        <v xml:space="preserve">XP096 - SESSION IPA  SEM ÁLCOOL </v>
      </c>
      <c r="B2721" s="4" t="s">
        <v>275</v>
      </c>
      <c r="D2721" s="5">
        <v>15.5</v>
      </c>
      <c r="F2721" s="4" t="s">
        <v>59</v>
      </c>
      <c r="G2721" s="4" t="s">
        <v>4937</v>
      </c>
      <c r="H2721" s="6" t="s">
        <v>11</v>
      </c>
    </row>
    <row r="2722" spans="1:8" x14ac:dyDescent="0.25">
      <c r="A2722" s="4" t="s">
        <v>4177</v>
      </c>
      <c r="B2722" s="4" t="s">
        <v>4178</v>
      </c>
      <c r="F2722" s="4" t="s">
        <v>66</v>
      </c>
      <c r="G2722" s="4" t="s">
        <v>4179</v>
      </c>
      <c r="H2722" s="6" t="s">
        <v>11</v>
      </c>
    </row>
    <row r="2723" spans="1:8" x14ac:dyDescent="0.25">
      <c r="A2723" s="4" t="str">
        <f>"REFRIGERANTE COCA COLA LATA "</f>
        <v xml:space="preserve">REFRIGERANTE COCA COLA LATA </v>
      </c>
      <c r="B2723" s="4" t="s">
        <v>4178</v>
      </c>
      <c r="C2723" s="5">
        <v>6</v>
      </c>
      <c r="D2723" s="5">
        <v>2.98</v>
      </c>
      <c r="F2723" s="4" t="s">
        <v>9</v>
      </c>
      <c r="G2723" s="4" t="s">
        <v>4303</v>
      </c>
      <c r="H2723" s="6" t="s">
        <v>11</v>
      </c>
    </row>
    <row r="2724" spans="1:8" x14ac:dyDescent="0.25">
      <c r="A2724" s="4" t="str">
        <f>"REFRIGERANTE COCA COLA ZERO LATA "</f>
        <v xml:space="preserve">REFRIGERANTE COCA COLA ZERO LATA </v>
      </c>
      <c r="B2724" s="4" t="s">
        <v>4178</v>
      </c>
      <c r="C2724" s="5">
        <v>6</v>
      </c>
      <c r="D2724" s="5">
        <v>2.98</v>
      </c>
      <c r="F2724" s="4" t="s">
        <v>9</v>
      </c>
      <c r="G2724" s="4" t="s">
        <v>4309</v>
      </c>
      <c r="H2724" s="6" t="s">
        <v>11</v>
      </c>
    </row>
    <row r="2725" spans="1:8" x14ac:dyDescent="0.25">
      <c r="A2725" s="4" t="str">
        <f>"REFRIGERANTE SPRITE LATA "</f>
        <v xml:space="preserve">REFRIGERANTE SPRITE LATA </v>
      </c>
      <c r="B2725" s="4" t="s">
        <v>4178</v>
      </c>
      <c r="C2725" s="5">
        <v>6</v>
      </c>
      <c r="D2725" s="5">
        <v>3.21</v>
      </c>
      <c r="F2725" s="4" t="s">
        <v>9</v>
      </c>
      <c r="G2725" s="4" t="s">
        <v>4325</v>
      </c>
      <c r="H2725" s="6" t="s">
        <v>11</v>
      </c>
    </row>
    <row r="2726" spans="1:8" x14ac:dyDescent="0.25">
      <c r="A2726" s="4" t="s">
        <v>542</v>
      </c>
      <c r="B2726" s="4" t="s">
        <v>543</v>
      </c>
      <c r="C2726" s="5">
        <v>110</v>
      </c>
      <c r="F2726" s="4" t="s">
        <v>9</v>
      </c>
      <c r="G2726" s="4" t="s">
        <v>544</v>
      </c>
      <c r="H2726" s="6" t="s">
        <v>11</v>
      </c>
    </row>
    <row r="2727" spans="1:8" x14ac:dyDescent="0.25">
      <c r="A2727" s="4" t="s">
        <v>545</v>
      </c>
      <c r="B2727" s="4" t="s">
        <v>543</v>
      </c>
      <c r="C2727" s="5">
        <v>110</v>
      </c>
      <c r="D2727" s="5">
        <v>56.54</v>
      </c>
      <c r="E2727" s="5">
        <v>5</v>
      </c>
      <c r="F2727" s="4" t="s">
        <v>9</v>
      </c>
      <c r="G2727" s="4" t="s">
        <v>546</v>
      </c>
      <c r="H2727" s="6" t="s">
        <v>11</v>
      </c>
    </row>
    <row r="2728" spans="1:8" x14ac:dyDescent="0.25">
      <c r="A2728" s="4" t="s">
        <v>547</v>
      </c>
      <c r="B2728" s="4" t="s">
        <v>543</v>
      </c>
      <c r="C2728" s="5">
        <v>110</v>
      </c>
      <c r="D2728" s="5">
        <v>56.54</v>
      </c>
      <c r="E2728" s="5">
        <v>2</v>
      </c>
      <c r="F2728" s="4" t="s">
        <v>9</v>
      </c>
      <c r="G2728" s="4" t="s">
        <v>548</v>
      </c>
      <c r="H2728" s="6" t="s">
        <v>11</v>
      </c>
    </row>
    <row r="2729" spans="1:8" x14ac:dyDescent="0.25">
      <c r="A2729" s="4" t="s">
        <v>549</v>
      </c>
      <c r="B2729" s="4" t="s">
        <v>543</v>
      </c>
      <c r="C2729" s="5">
        <v>110</v>
      </c>
      <c r="D2729" s="5">
        <v>54.81</v>
      </c>
      <c r="E2729" s="5">
        <v>5</v>
      </c>
      <c r="F2729" s="4" t="s">
        <v>9</v>
      </c>
      <c r="G2729" s="4" t="s">
        <v>550</v>
      </c>
      <c r="H2729" s="6" t="s">
        <v>11</v>
      </c>
    </row>
    <row r="2730" spans="1:8" x14ac:dyDescent="0.25">
      <c r="A2730" s="4" t="s">
        <v>551</v>
      </c>
      <c r="B2730" s="4" t="s">
        <v>543</v>
      </c>
      <c r="C2730" s="5">
        <v>110</v>
      </c>
      <c r="D2730" s="5">
        <v>57.94</v>
      </c>
      <c r="E2730" s="5">
        <v>2</v>
      </c>
      <c r="F2730" s="4" t="s">
        <v>9</v>
      </c>
      <c r="G2730" s="4" t="s">
        <v>552</v>
      </c>
      <c r="H2730" s="6" t="s">
        <v>11</v>
      </c>
    </row>
    <row r="2731" spans="1:8" x14ac:dyDescent="0.25">
      <c r="A2731" s="4" t="s">
        <v>553</v>
      </c>
      <c r="B2731" s="4" t="s">
        <v>543</v>
      </c>
      <c r="C2731" s="5">
        <v>110</v>
      </c>
      <c r="D2731" s="5">
        <v>55.13</v>
      </c>
      <c r="E2731" s="5">
        <v>2</v>
      </c>
      <c r="F2731" s="4" t="s">
        <v>9</v>
      </c>
      <c r="G2731" s="4" t="s">
        <v>554</v>
      </c>
      <c r="H2731" s="6" t="s">
        <v>11</v>
      </c>
    </row>
    <row r="2732" spans="1:8" x14ac:dyDescent="0.25">
      <c r="A2732" s="4" t="s">
        <v>555</v>
      </c>
      <c r="B2732" s="4" t="s">
        <v>543</v>
      </c>
      <c r="C2732" s="5">
        <v>110</v>
      </c>
      <c r="D2732" s="5">
        <v>56.54</v>
      </c>
      <c r="E2732" s="5">
        <v>2</v>
      </c>
      <c r="F2732" s="4" t="s">
        <v>9</v>
      </c>
      <c r="G2732" s="4" t="s">
        <v>556</v>
      </c>
      <c r="H2732" s="6" t="s">
        <v>11</v>
      </c>
    </row>
    <row r="2733" spans="1:8" x14ac:dyDescent="0.25">
      <c r="A2733" s="4" t="s">
        <v>569</v>
      </c>
      <c r="B2733" s="4" t="s">
        <v>543</v>
      </c>
      <c r="C2733" s="5">
        <v>110</v>
      </c>
      <c r="D2733" s="5">
        <v>46</v>
      </c>
      <c r="E2733" s="5">
        <v>1</v>
      </c>
      <c r="F2733" s="4" t="s">
        <v>9</v>
      </c>
      <c r="G2733" s="4" t="s">
        <v>570</v>
      </c>
      <c r="H2733" s="6" t="s">
        <v>11</v>
      </c>
    </row>
    <row r="2734" spans="1:8" x14ac:dyDescent="0.25">
      <c r="A2734" s="4" t="str">
        <f>"CAMISETA CHUMBO BSTRDS COMPANY (3XG) "</f>
        <v xml:space="preserve">CAMISETA CHUMBO BSTRDS COMPANY (3XG) </v>
      </c>
      <c r="B2734" s="4" t="s">
        <v>543</v>
      </c>
      <c r="C2734" s="5">
        <v>110</v>
      </c>
      <c r="D2734" s="5">
        <v>46</v>
      </c>
      <c r="E2734" s="5">
        <v>1</v>
      </c>
      <c r="F2734" s="4" t="s">
        <v>9</v>
      </c>
      <c r="G2734" s="4" t="s">
        <v>571</v>
      </c>
      <c r="H2734" s="6" t="s">
        <v>11</v>
      </c>
    </row>
    <row r="2735" spans="1:8" x14ac:dyDescent="0.25">
      <c r="A2735" s="4" t="s">
        <v>572</v>
      </c>
      <c r="B2735" s="4" t="s">
        <v>543</v>
      </c>
      <c r="C2735" s="5">
        <v>110</v>
      </c>
      <c r="D2735" s="5">
        <v>46</v>
      </c>
      <c r="F2735" s="4" t="s">
        <v>9</v>
      </c>
      <c r="G2735" s="4" t="s">
        <v>573</v>
      </c>
      <c r="H2735" s="6" t="s">
        <v>11</v>
      </c>
    </row>
    <row r="2736" spans="1:8" x14ac:dyDescent="0.25">
      <c r="A2736" s="4" t="s">
        <v>574</v>
      </c>
      <c r="B2736" s="4" t="s">
        <v>543</v>
      </c>
      <c r="C2736" s="5">
        <v>110</v>
      </c>
      <c r="D2736" s="5">
        <v>46</v>
      </c>
      <c r="E2736" s="5">
        <v>3</v>
      </c>
      <c r="F2736" s="4" t="s">
        <v>9</v>
      </c>
      <c r="G2736" s="4" t="s">
        <v>575</v>
      </c>
      <c r="H2736" s="6" t="s">
        <v>11</v>
      </c>
    </row>
    <row r="2737" spans="1:8" x14ac:dyDescent="0.25">
      <c r="A2737" s="4" t="s">
        <v>576</v>
      </c>
      <c r="B2737" s="4" t="s">
        <v>543</v>
      </c>
      <c r="C2737" s="5">
        <v>110</v>
      </c>
      <c r="D2737" s="5">
        <v>46</v>
      </c>
      <c r="E2737" s="5">
        <v>2</v>
      </c>
      <c r="F2737" s="4" t="s">
        <v>9</v>
      </c>
      <c r="G2737" s="4" t="s">
        <v>577</v>
      </c>
      <c r="H2737" s="6" t="s">
        <v>11</v>
      </c>
    </row>
    <row r="2738" spans="1:8" x14ac:dyDescent="0.25">
      <c r="A2738" s="4" t="s">
        <v>578</v>
      </c>
      <c r="B2738" s="4" t="s">
        <v>543</v>
      </c>
      <c r="C2738" s="5">
        <v>110</v>
      </c>
      <c r="D2738" s="5">
        <v>46</v>
      </c>
      <c r="F2738" s="4" t="s">
        <v>9</v>
      </c>
      <c r="G2738" s="4" t="s">
        <v>579</v>
      </c>
      <c r="H2738" s="6" t="s">
        <v>11</v>
      </c>
    </row>
    <row r="2739" spans="1:8" x14ac:dyDescent="0.25">
      <c r="A2739" s="4" t="s">
        <v>580</v>
      </c>
      <c r="B2739" s="4" t="s">
        <v>543</v>
      </c>
      <c r="C2739" s="5">
        <v>110</v>
      </c>
      <c r="D2739" s="5">
        <v>46</v>
      </c>
      <c r="E2739" s="5">
        <v>2</v>
      </c>
      <c r="F2739" s="4" t="s">
        <v>9</v>
      </c>
      <c r="G2739" s="4" t="s">
        <v>581</v>
      </c>
      <c r="H2739" s="6" t="s">
        <v>11</v>
      </c>
    </row>
    <row r="2740" spans="1:8" x14ac:dyDescent="0.25">
      <c r="A2740" s="4" t="s">
        <v>582</v>
      </c>
      <c r="B2740" s="4" t="s">
        <v>543</v>
      </c>
      <c r="C2740" s="5">
        <v>110</v>
      </c>
      <c r="D2740" s="5">
        <v>46</v>
      </c>
      <c r="F2740" s="4" t="s">
        <v>9</v>
      </c>
      <c r="G2740" s="4" t="s">
        <v>583</v>
      </c>
      <c r="H2740" s="6" t="s">
        <v>11</v>
      </c>
    </row>
    <row r="2741" spans="1:8" x14ac:dyDescent="0.25">
      <c r="A2741" s="4" t="str">
        <f>"CAMISETA MOSTARDA BSTRDS COMPANY (2XG) "</f>
        <v xml:space="preserve">CAMISETA MOSTARDA BSTRDS COMPANY (2XG) </v>
      </c>
      <c r="B2741" s="4" t="s">
        <v>543</v>
      </c>
      <c r="C2741" s="5">
        <v>110</v>
      </c>
      <c r="D2741" s="5">
        <v>46</v>
      </c>
      <c r="E2741" s="5">
        <v>1</v>
      </c>
      <c r="F2741" s="4" t="s">
        <v>9</v>
      </c>
      <c r="G2741" s="4" t="s">
        <v>598</v>
      </c>
      <c r="H2741" s="6" t="s">
        <v>11</v>
      </c>
    </row>
    <row r="2742" spans="1:8" x14ac:dyDescent="0.25">
      <c r="A2742" s="4" t="str">
        <f>"CAMISETA MOSTARDA BSTRDS COMPANY (3XG) "</f>
        <v xml:space="preserve">CAMISETA MOSTARDA BSTRDS COMPANY (3XG) </v>
      </c>
      <c r="B2742" s="4" t="s">
        <v>543</v>
      </c>
      <c r="C2742" s="5">
        <v>110</v>
      </c>
      <c r="D2742" s="5">
        <v>46</v>
      </c>
      <c r="E2742" s="5">
        <v>1</v>
      </c>
      <c r="F2742" s="4" t="s">
        <v>9</v>
      </c>
      <c r="G2742" s="4" t="s">
        <v>599</v>
      </c>
      <c r="H2742" s="6" t="s">
        <v>11</v>
      </c>
    </row>
    <row r="2743" spans="1:8" x14ac:dyDescent="0.25">
      <c r="A2743" s="4" t="str">
        <f>"CAMISETA MOSTARDA BSTRDS COMPANY (G) "</f>
        <v xml:space="preserve">CAMISETA MOSTARDA BSTRDS COMPANY (G) </v>
      </c>
      <c r="B2743" s="4" t="s">
        <v>543</v>
      </c>
      <c r="C2743" s="5">
        <v>110</v>
      </c>
      <c r="D2743" s="5">
        <v>46</v>
      </c>
      <c r="E2743" s="5">
        <v>6</v>
      </c>
      <c r="F2743" s="4" t="s">
        <v>9</v>
      </c>
      <c r="G2743" s="4" t="s">
        <v>600</v>
      </c>
      <c r="H2743" s="6" t="s">
        <v>11</v>
      </c>
    </row>
    <row r="2744" spans="1:8" x14ac:dyDescent="0.25">
      <c r="A2744" s="4" t="str">
        <f>"CAMISETA MOSTARDA BSTRDS COMPANY (GG) "</f>
        <v xml:space="preserve">CAMISETA MOSTARDA BSTRDS COMPANY (GG) </v>
      </c>
      <c r="B2744" s="4" t="s">
        <v>543</v>
      </c>
      <c r="C2744" s="5">
        <v>110</v>
      </c>
      <c r="D2744" s="5">
        <v>46</v>
      </c>
      <c r="E2744" s="5">
        <v>3</v>
      </c>
      <c r="F2744" s="4" t="s">
        <v>9</v>
      </c>
      <c r="G2744" s="4" t="s">
        <v>601</v>
      </c>
      <c r="H2744" s="6" t="s">
        <v>11</v>
      </c>
    </row>
    <row r="2745" spans="1:8" x14ac:dyDescent="0.25">
      <c r="A2745" s="4" t="str">
        <f>"CAMISETA MOSTARDA BSTRDS COMPANY (M) "</f>
        <v xml:space="preserve">CAMISETA MOSTARDA BSTRDS COMPANY (M) </v>
      </c>
      <c r="B2745" s="4" t="s">
        <v>543</v>
      </c>
      <c r="C2745" s="5">
        <v>110</v>
      </c>
      <c r="D2745" s="5">
        <v>46</v>
      </c>
      <c r="E2745" s="5">
        <v>2</v>
      </c>
      <c r="F2745" s="4" t="s">
        <v>9</v>
      </c>
      <c r="G2745" s="4" t="s">
        <v>602</v>
      </c>
      <c r="H2745" s="6" t="s">
        <v>11</v>
      </c>
    </row>
    <row r="2746" spans="1:8" x14ac:dyDescent="0.25">
      <c r="A2746" s="4" t="str">
        <f>"CAMISETA MOSTARDA BSTRDS COMPANY (P) "</f>
        <v xml:space="preserve">CAMISETA MOSTARDA BSTRDS COMPANY (P) </v>
      </c>
      <c r="B2746" s="4" t="s">
        <v>543</v>
      </c>
      <c r="C2746" s="5">
        <v>110</v>
      </c>
      <c r="D2746" s="5">
        <v>46</v>
      </c>
      <c r="E2746" s="5">
        <v>1</v>
      </c>
      <c r="F2746" s="4" t="s">
        <v>9</v>
      </c>
      <c r="G2746" s="4" t="s">
        <v>603</v>
      </c>
      <c r="H2746" s="6" t="s">
        <v>11</v>
      </c>
    </row>
    <row r="2747" spans="1:8" x14ac:dyDescent="0.25">
      <c r="A2747" s="4" t="s">
        <v>604</v>
      </c>
      <c r="B2747" s="4" t="s">
        <v>543</v>
      </c>
      <c r="C2747" s="5">
        <v>110</v>
      </c>
      <c r="D2747" s="5">
        <v>46</v>
      </c>
      <c r="E2747" s="5">
        <v>2</v>
      </c>
      <c r="F2747" s="4" t="s">
        <v>9</v>
      </c>
      <c r="G2747" s="4" t="s">
        <v>605</v>
      </c>
      <c r="H2747" s="6" t="s">
        <v>11</v>
      </c>
    </row>
    <row r="2748" spans="1:8" x14ac:dyDescent="0.25">
      <c r="A2748" s="4" t="str">
        <f>"CAMISETA MOSTARDA BSTRDS COMPANY (XG) "</f>
        <v xml:space="preserve">CAMISETA MOSTARDA BSTRDS COMPANY (XG) </v>
      </c>
      <c r="B2748" s="4" t="s">
        <v>543</v>
      </c>
      <c r="C2748" s="5">
        <v>110</v>
      </c>
      <c r="D2748" s="5">
        <v>46</v>
      </c>
      <c r="E2748" s="5">
        <v>2</v>
      </c>
      <c r="F2748" s="4" t="s">
        <v>9</v>
      </c>
      <c r="G2748" s="4" t="s">
        <v>606</v>
      </c>
      <c r="H2748" s="6" t="s">
        <v>11</v>
      </c>
    </row>
    <row r="2749" spans="1:8" x14ac:dyDescent="0.25">
      <c r="A2749" s="4" t="s">
        <v>615</v>
      </c>
      <c r="B2749" s="4" t="s">
        <v>543</v>
      </c>
      <c r="C2749" s="5">
        <v>110</v>
      </c>
      <c r="F2749" s="4" t="s">
        <v>9</v>
      </c>
      <c r="G2749" s="4" t="s">
        <v>616</v>
      </c>
      <c r="H2749" s="6" t="s">
        <v>11</v>
      </c>
    </row>
    <row r="2750" spans="1:8" x14ac:dyDescent="0.25">
      <c r="A2750" s="4" t="s">
        <v>617</v>
      </c>
      <c r="B2750" s="4" t="s">
        <v>543</v>
      </c>
      <c r="C2750" s="5">
        <v>110</v>
      </c>
      <c r="D2750" s="5">
        <v>56.54</v>
      </c>
      <c r="E2750" s="5">
        <v>4</v>
      </c>
      <c r="F2750" s="4" t="s">
        <v>9</v>
      </c>
      <c r="G2750" s="4" t="s">
        <v>618</v>
      </c>
      <c r="H2750" s="6" t="s">
        <v>11</v>
      </c>
    </row>
    <row r="2751" spans="1:8" x14ac:dyDescent="0.25">
      <c r="A2751" s="4" t="s">
        <v>619</v>
      </c>
      <c r="B2751" s="4" t="s">
        <v>543</v>
      </c>
      <c r="C2751" s="5">
        <v>110</v>
      </c>
      <c r="D2751" s="5">
        <v>55.41</v>
      </c>
      <c r="E2751" s="5">
        <v>2</v>
      </c>
      <c r="F2751" s="4" t="s">
        <v>9</v>
      </c>
      <c r="G2751" s="4" t="s">
        <v>620</v>
      </c>
      <c r="H2751" s="6" t="s">
        <v>11</v>
      </c>
    </row>
    <row r="2752" spans="1:8" x14ac:dyDescent="0.25">
      <c r="A2752" s="4" t="s">
        <v>621</v>
      </c>
      <c r="B2752" s="4" t="s">
        <v>543</v>
      </c>
      <c r="C2752" s="5">
        <v>110</v>
      </c>
      <c r="D2752" s="5">
        <v>55.13</v>
      </c>
      <c r="E2752" s="5">
        <v>2</v>
      </c>
      <c r="F2752" s="4" t="s">
        <v>9</v>
      </c>
      <c r="G2752" s="4" t="s">
        <v>622</v>
      </c>
      <c r="H2752" s="6" t="s">
        <v>11</v>
      </c>
    </row>
    <row r="2753" spans="1:8" x14ac:dyDescent="0.25">
      <c r="A2753" s="4" t="s">
        <v>623</v>
      </c>
      <c r="B2753" s="4" t="s">
        <v>543</v>
      </c>
      <c r="C2753" s="5">
        <v>110</v>
      </c>
      <c r="D2753" s="5">
        <v>56.54</v>
      </c>
      <c r="E2753" s="5">
        <v>3</v>
      </c>
      <c r="F2753" s="4" t="s">
        <v>9</v>
      </c>
      <c r="G2753" s="4" t="s">
        <v>624</v>
      </c>
      <c r="H2753" s="6" t="s">
        <v>11</v>
      </c>
    </row>
    <row r="2754" spans="1:8" x14ac:dyDescent="0.25">
      <c r="A2754" s="4" t="s">
        <v>625</v>
      </c>
      <c r="B2754" s="4" t="s">
        <v>543</v>
      </c>
      <c r="C2754" s="5">
        <v>110</v>
      </c>
      <c r="D2754" s="5">
        <v>58.22</v>
      </c>
      <c r="E2754" s="5">
        <v>1</v>
      </c>
      <c r="F2754" s="4" t="s">
        <v>9</v>
      </c>
      <c r="G2754" s="4" t="s">
        <v>626</v>
      </c>
      <c r="H2754" s="6" t="s">
        <v>11</v>
      </c>
    </row>
    <row r="2755" spans="1:8" x14ac:dyDescent="0.25">
      <c r="A2755" s="4" t="s">
        <v>627</v>
      </c>
      <c r="B2755" s="4" t="s">
        <v>543</v>
      </c>
      <c r="C2755" s="5">
        <v>110</v>
      </c>
      <c r="D2755" s="5">
        <v>56.54</v>
      </c>
      <c r="E2755" s="5">
        <v>1</v>
      </c>
      <c r="F2755" s="4" t="s">
        <v>9</v>
      </c>
      <c r="G2755" s="4" t="s">
        <v>628</v>
      </c>
      <c r="H2755" s="6" t="s">
        <v>11</v>
      </c>
    </row>
    <row r="2756" spans="1:8" x14ac:dyDescent="0.25">
      <c r="A2756" s="4" t="s">
        <v>3606</v>
      </c>
      <c r="B2756" s="4" t="s">
        <v>543</v>
      </c>
      <c r="C2756" s="5">
        <v>180</v>
      </c>
      <c r="D2756" s="5">
        <v>112.6</v>
      </c>
      <c r="E2756" s="5">
        <v>1</v>
      </c>
      <c r="F2756" s="4" t="s">
        <v>9</v>
      </c>
      <c r="G2756" s="4" t="s">
        <v>3607</v>
      </c>
      <c r="H2756" s="6" t="s">
        <v>11</v>
      </c>
    </row>
    <row r="2757" spans="1:8" x14ac:dyDescent="0.25">
      <c r="A2757" s="4" t="str">
        <f>"MOLETOM CANGURU INFANTIL- VERMELHO BSTRDS COMPANY (12) "</f>
        <v xml:space="preserve">MOLETOM CANGURU INFANTIL- VERMELHO BSTRDS COMPANY (12) </v>
      </c>
      <c r="B2757" s="4" t="s">
        <v>543</v>
      </c>
      <c r="C2757" s="5">
        <v>180</v>
      </c>
      <c r="D2757" s="5">
        <v>112.6</v>
      </c>
      <c r="E2757" s="5">
        <v>1</v>
      </c>
      <c r="F2757" s="4" t="s">
        <v>9</v>
      </c>
      <c r="G2757" s="4" t="s">
        <v>3608</v>
      </c>
      <c r="H2757" s="6" t="s">
        <v>11</v>
      </c>
    </row>
    <row r="2758" spans="1:8" x14ac:dyDescent="0.25">
      <c r="A2758" s="4" t="s">
        <v>3609</v>
      </c>
      <c r="B2758" s="4" t="s">
        <v>543</v>
      </c>
      <c r="C2758" s="5">
        <v>180</v>
      </c>
      <c r="D2758" s="5">
        <v>112.5</v>
      </c>
      <c r="E2758" s="5">
        <v>1</v>
      </c>
      <c r="F2758" s="4" t="s">
        <v>9</v>
      </c>
      <c r="G2758" s="4" t="s">
        <v>3610</v>
      </c>
      <c r="H2758" s="6" t="s">
        <v>11</v>
      </c>
    </row>
    <row r="2759" spans="1:8" x14ac:dyDescent="0.25">
      <c r="A2759" s="4" t="s">
        <v>3611</v>
      </c>
      <c r="B2759" s="4" t="s">
        <v>543</v>
      </c>
      <c r="C2759" s="5">
        <v>180</v>
      </c>
      <c r="D2759" s="5">
        <v>112.6</v>
      </c>
      <c r="E2759" s="5">
        <v>2</v>
      </c>
      <c r="F2759" s="4" t="s">
        <v>9</v>
      </c>
      <c r="G2759" s="4" t="s">
        <v>3612</v>
      </c>
      <c r="H2759" s="6" t="s">
        <v>11</v>
      </c>
    </row>
    <row r="2760" spans="1:8" x14ac:dyDescent="0.25">
      <c r="A2760" s="4" t="s">
        <v>3613</v>
      </c>
      <c r="B2760" s="4" t="s">
        <v>543</v>
      </c>
      <c r="C2760" s="5">
        <v>180</v>
      </c>
      <c r="D2760" s="5">
        <v>112.6</v>
      </c>
      <c r="E2760" s="5">
        <v>2</v>
      </c>
      <c r="F2760" s="4" t="s">
        <v>9</v>
      </c>
      <c r="G2760" s="4" t="s">
        <v>3614</v>
      </c>
      <c r="H2760" s="6" t="s">
        <v>11</v>
      </c>
    </row>
    <row r="2761" spans="1:8" x14ac:dyDescent="0.25">
      <c r="A2761" s="4" t="s">
        <v>3615</v>
      </c>
      <c r="B2761" s="4" t="s">
        <v>543</v>
      </c>
      <c r="C2761" s="5">
        <v>180</v>
      </c>
      <c r="D2761" s="5">
        <v>112.5</v>
      </c>
      <c r="E2761" s="5">
        <v>1</v>
      </c>
      <c r="F2761" s="4" t="s">
        <v>9</v>
      </c>
      <c r="G2761" s="4" t="s">
        <v>3616</v>
      </c>
      <c r="H2761" s="6" t="s">
        <v>11</v>
      </c>
    </row>
    <row r="2762" spans="1:8" x14ac:dyDescent="0.25">
      <c r="A2762" s="4" t="s">
        <v>3617</v>
      </c>
      <c r="B2762" s="4" t="s">
        <v>543</v>
      </c>
      <c r="C2762" s="5">
        <v>150</v>
      </c>
      <c r="D2762" s="5">
        <v>75</v>
      </c>
      <c r="F2762" s="4" t="s">
        <v>9</v>
      </c>
      <c r="G2762" s="4" t="s">
        <v>3618</v>
      </c>
      <c r="H2762" s="6" t="s">
        <v>11</v>
      </c>
    </row>
    <row r="2763" spans="1:8" x14ac:dyDescent="0.25">
      <c r="A2763" s="4" t="str">
        <f>"MOLETOM CANGURU P/ DOG- VERMELHO BSTRDS COMPANY (EXXGG) "</f>
        <v xml:space="preserve">MOLETOM CANGURU P/ DOG- VERMELHO BSTRDS COMPANY (EXXGG) </v>
      </c>
      <c r="B2763" s="4" t="s">
        <v>543</v>
      </c>
      <c r="C2763" s="5">
        <v>180</v>
      </c>
      <c r="D2763" s="5">
        <v>90</v>
      </c>
      <c r="F2763" s="4" t="s">
        <v>9</v>
      </c>
      <c r="G2763" s="4" t="s">
        <v>3620</v>
      </c>
      <c r="H2763" s="6" t="s">
        <v>11</v>
      </c>
    </row>
    <row r="2764" spans="1:8" x14ac:dyDescent="0.25">
      <c r="A2764" s="4" t="s">
        <v>3621</v>
      </c>
      <c r="B2764" s="4" t="s">
        <v>543</v>
      </c>
      <c r="C2764" s="5">
        <v>130</v>
      </c>
      <c r="D2764" s="5">
        <v>65</v>
      </c>
      <c r="E2764" s="5">
        <v>-2</v>
      </c>
      <c r="F2764" s="4" t="s">
        <v>9</v>
      </c>
      <c r="G2764" s="4" t="s">
        <v>3622</v>
      </c>
      <c r="H2764" s="6" t="s">
        <v>11</v>
      </c>
    </row>
    <row r="2765" spans="1:8" x14ac:dyDescent="0.25">
      <c r="A2765" s="4" t="s">
        <v>3648</v>
      </c>
      <c r="B2765" s="4" t="s">
        <v>543</v>
      </c>
      <c r="C2765" s="5">
        <v>240</v>
      </c>
      <c r="D2765" s="5">
        <v>142.69999999999999</v>
      </c>
      <c r="E2765" s="5">
        <v>1</v>
      </c>
      <c r="F2765" s="4" t="s">
        <v>9</v>
      </c>
      <c r="G2765" s="4" t="s">
        <v>3649</v>
      </c>
      <c r="H2765" s="6" t="s">
        <v>11</v>
      </c>
    </row>
    <row r="2766" spans="1:8" x14ac:dyDescent="0.25">
      <c r="A2766" s="4" t="str">
        <f>"MOLETOM CANGURU VERMELHO BSTRDS COMPANY (3XG) "</f>
        <v xml:space="preserve">MOLETOM CANGURU VERMELHO BSTRDS COMPANY (3XG) </v>
      </c>
      <c r="B2766" s="4" t="s">
        <v>543</v>
      </c>
      <c r="C2766" s="5">
        <v>240</v>
      </c>
      <c r="D2766" s="5">
        <v>142.69999999999999</v>
      </c>
      <c r="E2766" s="5">
        <v>1</v>
      </c>
      <c r="F2766" s="4" t="s">
        <v>9</v>
      </c>
      <c r="G2766" s="4" t="s">
        <v>3650</v>
      </c>
      <c r="H2766" s="6" t="s">
        <v>11</v>
      </c>
    </row>
    <row r="2767" spans="1:8" x14ac:dyDescent="0.25">
      <c r="A2767" s="4" t="s">
        <v>3651</v>
      </c>
      <c r="B2767" s="4" t="s">
        <v>543</v>
      </c>
      <c r="C2767" s="5">
        <v>240</v>
      </c>
      <c r="D2767" s="5">
        <v>142.69999999999999</v>
      </c>
      <c r="E2767" s="5">
        <v>5</v>
      </c>
      <c r="F2767" s="4" t="s">
        <v>9</v>
      </c>
      <c r="G2767" s="4" t="s">
        <v>3652</v>
      </c>
      <c r="H2767" s="6" t="s">
        <v>11</v>
      </c>
    </row>
    <row r="2768" spans="1:8" x14ac:dyDescent="0.25">
      <c r="A2768" s="4" t="s">
        <v>3653</v>
      </c>
      <c r="B2768" s="4" t="s">
        <v>543</v>
      </c>
      <c r="C2768" s="5">
        <v>240</v>
      </c>
      <c r="D2768" s="5">
        <v>142.69999999999999</v>
      </c>
      <c r="E2768" s="5">
        <v>2</v>
      </c>
      <c r="F2768" s="4" t="s">
        <v>9</v>
      </c>
      <c r="G2768" s="4" t="s">
        <v>3654</v>
      </c>
      <c r="H2768" s="6" t="s">
        <v>11</v>
      </c>
    </row>
    <row r="2769" spans="1:8" x14ac:dyDescent="0.25">
      <c r="A2769" s="4" t="s">
        <v>3655</v>
      </c>
      <c r="B2769" s="4" t="s">
        <v>543</v>
      </c>
      <c r="C2769" s="5">
        <v>240</v>
      </c>
      <c r="D2769" s="5">
        <v>142.69999999999999</v>
      </c>
      <c r="E2769" s="5">
        <v>4</v>
      </c>
      <c r="F2769" s="4" t="s">
        <v>9</v>
      </c>
      <c r="G2769" s="4" t="s">
        <v>3656</v>
      </c>
      <c r="H2769" s="6" t="s">
        <v>11</v>
      </c>
    </row>
    <row r="2770" spans="1:8" x14ac:dyDescent="0.25">
      <c r="A2770" s="4" t="s">
        <v>3657</v>
      </c>
      <c r="B2770" s="4" t="s">
        <v>543</v>
      </c>
      <c r="C2770" s="5">
        <v>240</v>
      </c>
      <c r="D2770" s="5">
        <v>142.69999999999999</v>
      </c>
      <c r="E2770" s="5">
        <v>1</v>
      </c>
      <c r="F2770" s="4" t="s">
        <v>9</v>
      </c>
      <c r="G2770" s="4" t="s">
        <v>3658</v>
      </c>
      <c r="H2770" s="6" t="s">
        <v>11</v>
      </c>
    </row>
    <row r="2771" spans="1:8" x14ac:dyDescent="0.25">
      <c r="A2771" s="4" t="s">
        <v>3659</v>
      </c>
      <c r="B2771" s="4" t="s">
        <v>543</v>
      </c>
      <c r="C2771" s="5">
        <v>240</v>
      </c>
      <c r="D2771" s="5">
        <v>142.69999999999999</v>
      </c>
      <c r="E2771" s="5">
        <v>2</v>
      </c>
      <c r="F2771" s="4" t="s">
        <v>9</v>
      </c>
      <c r="G2771" s="4" t="s">
        <v>3660</v>
      </c>
      <c r="H2771" s="6" t="s">
        <v>11</v>
      </c>
    </row>
    <row r="2772" spans="1:8" x14ac:dyDescent="0.25">
      <c r="A2772" s="4" t="s">
        <v>3661</v>
      </c>
      <c r="B2772" s="4" t="s">
        <v>543</v>
      </c>
      <c r="C2772" s="5">
        <v>240</v>
      </c>
      <c r="D2772" s="5">
        <v>142.69999999999999</v>
      </c>
      <c r="F2772" s="4" t="s">
        <v>9</v>
      </c>
      <c r="G2772" s="4" t="s">
        <v>3662</v>
      </c>
      <c r="H2772" s="6" t="s">
        <v>11</v>
      </c>
    </row>
    <row r="2773" spans="1:8" x14ac:dyDescent="0.25">
      <c r="A2773" s="4" t="s">
        <v>3663</v>
      </c>
      <c r="B2773" s="4" t="s">
        <v>543</v>
      </c>
      <c r="C2773" s="5">
        <v>220</v>
      </c>
      <c r="F2773" s="4" t="s">
        <v>9</v>
      </c>
      <c r="G2773" s="4" t="s">
        <v>3664</v>
      </c>
      <c r="H2773" s="6" t="s">
        <v>11</v>
      </c>
    </row>
    <row r="2774" spans="1:8" x14ac:dyDescent="0.25">
      <c r="A2774" s="4" t="s">
        <v>3665</v>
      </c>
      <c r="B2774" s="4" t="s">
        <v>543</v>
      </c>
      <c r="C2774" s="5">
        <v>220</v>
      </c>
      <c r="D2774" s="5">
        <v>154.65</v>
      </c>
      <c r="E2774" s="5">
        <v>7</v>
      </c>
      <c r="F2774" s="4" t="s">
        <v>9</v>
      </c>
      <c r="G2774" s="4" t="s">
        <v>3666</v>
      </c>
      <c r="H2774" s="6" t="s">
        <v>11</v>
      </c>
    </row>
    <row r="2775" spans="1:8" x14ac:dyDescent="0.25">
      <c r="A2775" s="4" t="s">
        <v>3667</v>
      </c>
      <c r="B2775" s="4" t="s">
        <v>543</v>
      </c>
      <c r="C2775" s="5">
        <v>220</v>
      </c>
      <c r="D2775" s="5">
        <v>123.72</v>
      </c>
      <c r="E2775" s="5">
        <v>3</v>
      </c>
      <c r="F2775" s="4" t="s">
        <v>9</v>
      </c>
      <c r="G2775" s="4" t="s">
        <v>3668</v>
      </c>
      <c r="H2775" s="6" t="s">
        <v>11</v>
      </c>
    </row>
    <row r="2776" spans="1:8" x14ac:dyDescent="0.25">
      <c r="A2776" s="4" t="s">
        <v>3669</v>
      </c>
      <c r="B2776" s="4" t="s">
        <v>543</v>
      </c>
      <c r="C2776" s="5">
        <v>220</v>
      </c>
      <c r="D2776" s="5">
        <v>123.72</v>
      </c>
      <c r="E2776" s="5">
        <v>4</v>
      </c>
      <c r="F2776" s="4" t="s">
        <v>9</v>
      </c>
      <c r="G2776" s="4" t="s">
        <v>3670</v>
      </c>
      <c r="H2776" s="6" t="s">
        <v>11</v>
      </c>
    </row>
    <row r="2777" spans="1:8" x14ac:dyDescent="0.25">
      <c r="A2777" s="4" t="s">
        <v>3671</v>
      </c>
      <c r="B2777" s="4" t="s">
        <v>543</v>
      </c>
      <c r="C2777" s="5">
        <v>220</v>
      </c>
      <c r="D2777" s="5">
        <v>123.72</v>
      </c>
      <c r="E2777" s="5">
        <v>3</v>
      </c>
      <c r="F2777" s="4" t="s">
        <v>9</v>
      </c>
      <c r="G2777" s="4" t="s">
        <v>3672</v>
      </c>
      <c r="H2777" s="6" t="s">
        <v>11</v>
      </c>
    </row>
    <row r="2778" spans="1:8" x14ac:dyDescent="0.25">
      <c r="A2778" s="4" t="s">
        <v>3673</v>
      </c>
      <c r="B2778" s="4" t="s">
        <v>543</v>
      </c>
      <c r="C2778" s="5">
        <v>220</v>
      </c>
      <c r="D2778" s="5">
        <v>123.72</v>
      </c>
      <c r="E2778" s="5">
        <v>2</v>
      </c>
      <c r="F2778" s="4" t="s">
        <v>9</v>
      </c>
      <c r="G2778" s="4" t="s">
        <v>3674</v>
      </c>
      <c r="H2778" s="6" t="s">
        <v>11</v>
      </c>
    </row>
    <row r="2779" spans="1:8" x14ac:dyDescent="0.25">
      <c r="A2779" s="4" t="s">
        <v>3675</v>
      </c>
      <c r="B2779" s="4" t="s">
        <v>543</v>
      </c>
      <c r="C2779" s="5">
        <v>220</v>
      </c>
      <c r="D2779" s="5">
        <v>123.72</v>
      </c>
      <c r="E2779" s="5">
        <v>1</v>
      </c>
      <c r="F2779" s="4" t="s">
        <v>9</v>
      </c>
      <c r="G2779" s="4" t="s">
        <v>3676</v>
      </c>
      <c r="H2779" s="6" t="s">
        <v>11</v>
      </c>
    </row>
    <row r="2780" spans="1:8" x14ac:dyDescent="0.25">
      <c r="A2780" s="4" t="s">
        <v>3677</v>
      </c>
      <c r="B2780" s="4" t="s">
        <v>543</v>
      </c>
      <c r="C2780" s="5">
        <v>220</v>
      </c>
      <c r="F2780" s="4" t="s">
        <v>9</v>
      </c>
      <c r="G2780" s="4" t="s">
        <v>3678</v>
      </c>
      <c r="H2780" s="6" t="s">
        <v>11</v>
      </c>
    </row>
    <row r="2781" spans="1:8" x14ac:dyDescent="0.25">
      <c r="A2781" s="4" t="s">
        <v>3679</v>
      </c>
      <c r="B2781" s="4" t="s">
        <v>543</v>
      </c>
      <c r="C2781" s="5">
        <v>220</v>
      </c>
      <c r="D2781" s="5">
        <v>123.72</v>
      </c>
      <c r="E2781" s="5">
        <v>6</v>
      </c>
      <c r="F2781" s="4" t="s">
        <v>9</v>
      </c>
      <c r="G2781" s="4" t="s">
        <v>3680</v>
      </c>
      <c r="H2781" s="6" t="s">
        <v>11</v>
      </c>
    </row>
    <row r="2782" spans="1:8" x14ac:dyDescent="0.25">
      <c r="A2782" s="4" t="s">
        <v>3681</v>
      </c>
      <c r="B2782" s="4" t="s">
        <v>543</v>
      </c>
      <c r="C2782" s="5">
        <v>220</v>
      </c>
      <c r="D2782" s="5">
        <v>123.72</v>
      </c>
      <c r="E2782" s="5">
        <v>3</v>
      </c>
      <c r="F2782" s="4" t="s">
        <v>9</v>
      </c>
      <c r="G2782" s="4" t="s">
        <v>3682</v>
      </c>
      <c r="H2782" s="6" t="s">
        <v>11</v>
      </c>
    </row>
    <row r="2783" spans="1:8" x14ac:dyDescent="0.25">
      <c r="A2783" s="4" t="s">
        <v>3683</v>
      </c>
      <c r="B2783" s="4" t="s">
        <v>543</v>
      </c>
      <c r="C2783" s="5">
        <v>220</v>
      </c>
      <c r="D2783" s="5">
        <v>123.72</v>
      </c>
      <c r="E2783" s="5">
        <v>7</v>
      </c>
      <c r="F2783" s="4" t="s">
        <v>9</v>
      </c>
      <c r="G2783" s="4" t="s">
        <v>3684</v>
      </c>
      <c r="H2783" s="6" t="s">
        <v>11</v>
      </c>
    </row>
    <row r="2784" spans="1:8" x14ac:dyDescent="0.25">
      <c r="A2784" s="4" t="s">
        <v>3685</v>
      </c>
      <c r="B2784" s="4" t="s">
        <v>543</v>
      </c>
      <c r="C2784" s="5">
        <v>220</v>
      </c>
      <c r="D2784" s="5">
        <v>123.72</v>
      </c>
      <c r="E2784" s="5">
        <v>-2</v>
      </c>
      <c r="F2784" s="4" t="s">
        <v>9</v>
      </c>
      <c r="G2784" s="4" t="s">
        <v>3686</v>
      </c>
      <c r="H2784" s="6" t="s">
        <v>11</v>
      </c>
    </row>
    <row r="2785" spans="1:8" x14ac:dyDescent="0.25">
      <c r="A2785" s="4" t="s">
        <v>3687</v>
      </c>
      <c r="B2785" s="4" t="s">
        <v>543</v>
      </c>
      <c r="C2785" s="5">
        <v>220</v>
      </c>
      <c r="D2785" s="5">
        <v>123.72</v>
      </c>
      <c r="E2785" s="5">
        <v>2</v>
      </c>
      <c r="F2785" s="4" t="s">
        <v>9</v>
      </c>
      <c r="G2785" s="4" t="s">
        <v>3688</v>
      </c>
      <c r="H2785" s="6" t="s">
        <v>11</v>
      </c>
    </row>
    <row r="2786" spans="1:8" x14ac:dyDescent="0.25">
      <c r="A2786" s="4" t="s">
        <v>3689</v>
      </c>
      <c r="B2786" s="4" t="s">
        <v>543</v>
      </c>
      <c r="C2786" s="5">
        <v>220</v>
      </c>
      <c r="D2786" s="5">
        <v>123.72</v>
      </c>
      <c r="E2786" s="5">
        <v>2</v>
      </c>
      <c r="F2786" s="4" t="s">
        <v>9</v>
      </c>
      <c r="G2786" s="4" t="s">
        <v>3690</v>
      </c>
      <c r="H2786" s="6" t="s">
        <v>11</v>
      </c>
    </row>
    <row r="2787" spans="1:8" x14ac:dyDescent="0.25">
      <c r="A2787" s="4" t="s">
        <v>3800</v>
      </c>
      <c r="B2787" s="4" t="s">
        <v>543</v>
      </c>
      <c r="C2787" s="5">
        <v>240</v>
      </c>
      <c r="D2787" s="5">
        <v>151.30000000000001</v>
      </c>
      <c r="E2787" s="5">
        <v>1</v>
      </c>
      <c r="F2787" s="4" t="s">
        <v>9</v>
      </c>
      <c r="G2787" s="4" t="s">
        <v>3801</v>
      </c>
      <c r="H2787" s="6" t="s">
        <v>11</v>
      </c>
    </row>
    <row r="2788" spans="1:8" x14ac:dyDescent="0.25">
      <c r="A2788" s="4" t="str">
        <f>"MOLETOM ZIPER VERDE BSTRDS COMPANY (3XG) "</f>
        <v xml:space="preserve">MOLETOM ZIPER VERDE BSTRDS COMPANY (3XG) </v>
      </c>
      <c r="B2788" s="4" t="s">
        <v>543</v>
      </c>
      <c r="C2788" s="5">
        <v>240</v>
      </c>
      <c r="D2788" s="5">
        <v>151.30000000000001</v>
      </c>
      <c r="E2788" s="5">
        <v>1</v>
      </c>
      <c r="F2788" s="4" t="s">
        <v>9</v>
      </c>
      <c r="G2788" s="4" t="s">
        <v>3802</v>
      </c>
      <c r="H2788" s="6" t="s">
        <v>11</v>
      </c>
    </row>
    <row r="2789" spans="1:8" x14ac:dyDescent="0.25">
      <c r="A2789" s="4" t="s">
        <v>3803</v>
      </c>
      <c r="B2789" s="4" t="s">
        <v>543</v>
      </c>
      <c r="C2789" s="5">
        <v>240</v>
      </c>
      <c r="D2789" s="5">
        <v>151.30000000000001</v>
      </c>
      <c r="E2789" s="5">
        <v>5</v>
      </c>
      <c r="F2789" s="4" t="s">
        <v>9</v>
      </c>
      <c r="G2789" s="4" t="s">
        <v>3804</v>
      </c>
      <c r="H2789" s="6" t="s">
        <v>11</v>
      </c>
    </row>
    <row r="2790" spans="1:8" x14ac:dyDescent="0.25">
      <c r="A2790" s="4" t="s">
        <v>3805</v>
      </c>
      <c r="B2790" s="4" t="s">
        <v>543</v>
      </c>
      <c r="C2790" s="5">
        <v>240</v>
      </c>
      <c r="D2790" s="5">
        <v>151.30000000000001</v>
      </c>
      <c r="E2790" s="5">
        <v>4</v>
      </c>
      <c r="F2790" s="4" t="s">
        <v>9</v>
      </c>
      <c r="G2790" s="4" t="s">
        <v>3806</v>
      </c>
      <c r="H2790" s="6" t="s">
        <v>11</v>
      </c>
    </row>
    <row r="2791" spans="1:8" x14ac:dyDescent="0.25">
      <c r="A2791" s="4" t="s">
        <v>3807</v>
      </c>
      <c r="B2791" s="4" t="s">
        <v>543</v>
      </c>
      <c r="C2791" s="5">
        <v>240</v>
      </c>
      <c r="D2791" s="5">
        <v>151.30000000000001</v>
      </c>
      <c r="E2791" s="5">
        <v>5</v>
      </c>
      <c r="F2791" s="4" t="s">
        <v>9</v>
      </c>
      <c r="G2791" s="4" t="s">
        <v>3808</v>
      </c>
      <c r="H2791" s="6" t="s">
        <v>11</v>
      </c>
    </row>
    <row r="2792" spans="1:8" x14ac:dyDescent="0.25">
      <c r="A2792" s="4" t="s">
        <v>3809</v>
      </c>
      <c r="B2792" s="4" t="s">
        <v>543</v>
      </c>
      <c r="C2792" s="5">
        <v>240</v>
      </c>
      <c r="D2792" s="5">
        <v>151.30000000000001</v>
      </c>
      <c r="E2792" s="5">
        <v>1</v>
      </c>
      <c r="F2792" s="4" t="s">
        <v>9</v>
      </c>
      <c r="G2792" s="4" t="s">
        <v>3810</v>
      </c>
      <c r="H2792" s="6" t="s">
        <v>11</v>
      </c>
    </row>
    <row r="2793" spans="1:8" x14ac:dyDescent="0.25">
      <c r="A2793" s="4" t="s">
        <v>3811</v>
      </c>
      <c r="B2793" s="4" t="s">
        <v>543</v>
      </c>
      <c r="C2793" s="5">
        <v>240</v>
      </c>
      <c r="D2793" s="5">
        <v>151.30000000000001</v>
      </c>
      <c r="E2793" s="5">
        <v>2</v>
      </c>
      <c r="F2793" s="4" t="s">
        <v>9</v>
      </c>
      <c r="G2793" s="4" t="s">
        <v>3812</v>
      </c>
      <c r="H2793" s="6" t="s">
        <v>11</v>
      </c>
    </row>
    <row r="2794" spans="1:8" x14ac:dyDescent="0.25">
      <c r="A2794" s="4" t="s">
        <v>3813</v>
      </c>
      <c r="B2794" s="4" t="s">
        <v>543</v>
      </c>
      <c r="C2794" s="5">
        <v>240</v>
      </c>
      <c r="D2794" s="5">
        <v>151.30000000000001</v>
      </c>
      <c r="E2794" s="5">
        <v>1</v>
      </c>
      <c r="F2794" s="4" t="s">
        <v>9</v>
      </c>
      <c r="G2794" s="4" t="s">
        <v>3814</v>
      </c>
      <c r="H2794" s="6" t="s">
        <v>11</v>
      </c>
    </row>
    <row r="2795" spans="1:8" x14ac:dyDescent="0.25">
      <c r="A2795" s="4" t="s">
        <v>4728</v>
      </c>
      <c r="B2795" s="4" t="s">
        <v>543</v>
      </c>
      <c r="C2795" s="5">
        <v>110</v>
      </c>
      <c r="D2795" s="5">
        <v>75</v>
      </c>
      <c r="F2795" s="4" t="s">
        <v>9</v>
      </c>
      <c r="G2795" s="4" t="s">
        <v>4729</v>
      </c>
      <c r="H2795" s="6" t="s">
        <v>11</v>
      </c>
    </row>
    <row r="2796" spans="1:8" x14ac:dyDescent="0.25">
      <c r="A2796" s="4" t="s">
        <v>4730</v>
      </c>
      <c r="B2796" s="4" t="s">
        <v>543</v>
      </c>
      <c r="C2796" s="5">
        <v>110</v>
      </c>
      <c r="D2796" s="5">
        <v>75</v>
      </c>
      <c r="E2796" s="5">
        <v>1</v>
      </c>
      <c r="F2796" s="4" t="s">
        <v>9</v>
      </c>
      <c r="G2796" s="4" t="s">
        <v>4731</v>
      </c>
      <c r="H2796" s="6" t="s">
        <v>11</v>
      </c>
    </row>
    <row r="2797" spans="1:8" x14ac:dyDescent="0.25">
      <c r="A2797" s="4" t="s">
        <v>4732</v>
      </c>
      <c r="B2797" s="4" t="s">
        <v>543</v>
      </c>
      <c r="C2797" s="5">
        <v>110</v>
      </c>
      <c r="D2797" s="5">
        <v>75</v>
      </c>
      <c r="E2797" s="5">
        <v>4</v>
      </c>
      <c r="F2797" s="4" t="s">
        <v>9</v>
      </c>
      <c r="G2797" s="4" t="s">
        <v>4733</v>
      </c>
      <c r="H2797" s="6" t="s">
        <v>11</v>
      </c>
    </row>
    <row r="2798" spans="1:8" x14ac:dyDescent="0.25">
      <c r="A2798" s="4" t="s">
        <v>4734</v>
      </c>
      <c r="B2798" s="4" t="s">
        <v>543</v>
      </c>
      <c r="C2798" s="5">
        <v>110</v>
      </c>
      <c r="D2798" s="5">
        <v>75</v>
      </c>
      <c r="E2798" s="5">
        <v>3</v>
      </c>
      <c r="F2798" s="4" t="s">
        <v>9</v>
      </c>
      <c r="G2798" s="4" t="s">
        <v>4735</v>
      </c>
      <c r="H2798" s="6" t="s">
        <v>11</v>
      </c>
    </row>
    <row r="2799" spans="1:8" x14ac:dyDescent="0.25">
      <c r="A2799" s="4" t="s">
        <v>4304</v>
      </c>
      <c r="B2799" s="4" t="s">
        <v>4305</v>
      </c>
      <c r="C2799" s="5">
        <v>6</v>
      </c>
      <c r="D2799" s="5">
        <v>2.98</v>
      </c>
      <c r="E2799" s="5">
        <v>966</v>
      </c>
      <c r="F2799" s="4" t="s">
        <v>9</v>
      </c>
      <c r="G2799" s="4" t="s">
        <v>4306</v>
      </c>
      <c r="H2799" s="6" t="s">
        <v>11</v>
      </c>
    </row>
    <row r="2800" spans="1:8" x14ac:dyDescent="0.25">
      <c r="A2800" s="4" t="s">
        <v>4310</v>
      </c>
      <c r="B2800" s="4" t="s">
        <v>4305</v>
      </c>
      <c r="C2800" s="5">
        <v>6</v>
      </c>
      <c r="D2800" s="5">
        <v>2.98</v>
      </c>
      <c r="E2800" s="5">
        <v>614</v>
      </c>
      <c r="F2800" s="4" t="s">
        <v>9</v>
      </c>
      <c r="G2800" s="4" t="s">
        <v>4311</v>
      </c>
      <c r="H2800" s="6" t="s">
        <v>11</v>
      </c>
    </row>
    <row r="2801" spans="1:8" x14ac:dyDescent="0.25">
      <c r="A2801" s="4" t="str">
        <f>"REFRIGERANTE SPRITE LATA  - ESTOQUE GERAL "</f>
        <v xml:space="preserve">REFRIGERANTE SPRITE LATA  - ESTOQUE GERAL </v>
      </c>
      <c r="B2801" s="4" t="s">
        <v>4305</v>
      </c>
      <c r="C2801" s="5">
        <v>6</v>
      </c>
      <c r="D2801" s="5">
        <v>3.21</v>
      </c>
      <c r="F2801" s="4" t="s">
        <v>9</v>
      </c>
      <c r="G2801" s="4" t="s">
        <v>4326</v>
      </c>
      <c r="H2801" s="6" t="s">
        <v>11</v>
      </c>
    </row>
    <row r="2802" spans="1:8" x14ac:dyDescent="0.25">
      <c r="A2802" s="4" t="s">
        <v>4623</v>
      </c>
      <c r="B2802" s="4" t="s">
        <v>4624</v>
      </c>
      <c r="F2802" s="4" t="s">
        <v>9</v>
      </c>
      <c r="G2802" s="4" t="s">
        <v>4625</v>
      </c>
      <c r="H2802" s="6" t="s">
        <v>11</v>
      </c>
    </row>
    <row r="2803" spans="1:8" x14ac:dyDescent="0.25">
      <c r="A2803" s="4" t="s">
        <v>4626</v>
      </c>
      <c r="B2803" s="4" t="s">
        <v>4624</v>
      </c>
      <c r="F2803" s="4" t="s">
        <v>9</v>
      </c>
      <c r="G2803" s="4" t="s">
        <v>4627</v>
      </c>
      <c r="H2803" s="6" t="s">
        <v>11</v>
      </c>
    </row>
    <row r="2804" spans="1:8" x14ac:dyDescent="0.25">
      <c r="A2804" s="4" t="s">
        <v>4887</v>
      </c>
      <c r="B2804" s="4" t="s">
        <v>4888</v>
      </c>
      <c r="C2804" s="5">
        <v>95.12</v>
      </c>
      <c r="D2804" s="5">
        <v>47.56</v>
      </c>
      <c r="F2804" s="4" t="s">
        <v>59</v>
      </c>
      <c r="G2804" s="4" t="s">
        <v>4889</v>
      </c>
      <c r="H2804" s="6" t="s">
        <v>11</v>
      </c>
    </row>
    <row r="2805" spans="1:8" x14ac:dyDescent="0.25">
      <c r="A2805" s="4" t="s">
        <v>63</v>
      </c>
      <c r="B2805" s="4" t="s">
        <v>64</v>
      </c>
      <c r="F2805" s="4" t="s">
        <v>9</v>
      </c>
      <c r="G2805" s="4" t="s">
        <v>65</v>
      </c>
      <c r="H2805" s="6" t="s">
        <v>11</v>
      </c>
    </row>
    <row r="2806" spans="1:8" x14ac:dyDescent="0.25">
      <c r="A2806" s="4" t="str">
        <f>"BANDEJA DE ALUMINIO "</f>
        <v xml:space="preserve">BANDEJA DE ALUMINIO </v>
      </c>
      <c r="B2806" s="4" t="s">
        <v>64</v>
      </c>
      <c r="F2806" s="4" t="s">
        <v>9</v>
      </c>
      <c r="G2806" s="4" t="s">
        <v>246</v>
      </c>
      <c r="H2806" s="6" t="s">
        <v>11</v>
      </c>
    </row>
    <row r="2807" spans="1:8" x14ac:dyDescent="0.25">
      <c r="A2807" s="4" t="s">
        <v>310</v>
      </c>
      <c r="B2807" s="4" t="s">
        <v>64</v>
      </c>
      <c r="F2807" s="4" t="s">
        <v>9</v>
      </c>
      <c r="G2807" s="4" t="s">
        <v>311</v>
      </c>
      <c r="H2807" s="6" t="s">
        <v>11</v>
      </c>
    </row>
    <row r="2808" spans="1:8" x14ac:dyDescent="0.25">
      <c r="A2808" s="4" t="s">
        <v>320</v>
      </c>
      <c r="B2808" s="4" t="s">
        <v>64</v>
      </c>
      <c r="F2808" s="4" t="s">
        <v>9</v>
      </c>
      <c r="G2808" s="4" t="s">
        <v>321</v>
      </c>
      <c r="H2808" s="6" t="s">
        <v>11</v>
      </c>
    </row>
    <row r="2809" spans="1:8" x14ac:dyDescent="0.25">
      <c r="A2809" s="4" t="s">
        <v>322</v>
      </c>
      <c r="B2809" s="4" t="s">
        <v>64</v>
      </c>
      <c r="F2809" s="4" t="s">
        <v>9</v>
      </c>
      <c r="G2809" s="4" t="s">
        <v>323</v>
      </c>
      <c r="H2809" s="6" t="s">
        <v>11</v>
      </c>
    </row>
    <row r="2810" spans="1:8" x14ac:dyDescent="0.25">
      <c r="A2810" s="4" t="str">
        <f>"BOBINA TERMICA "</f>
        <v xml:space="preserve">BOBINA TERMICA </v>
      </c>
      <c r="B2810" s="4" t="s">
        <v>64</v>
      </c>
      <c r="D2810" s="5">
        <v>1.47</v>
      </c>
      <c r="E2810" s="5">
        <v>240</v>
      </c>
      <c r="F2810" s="4" t="s">
        <v>9</v>
      </c>
      <c r="G2810" s="4" t="s">
        <v>335</v>
      </c>
      <c r="H2810" s="6" t="s">
        <v>11</v>
      </c>
    </row>
    <row r="2811" spans="1:8" x14ac:dyDescent="0.25">
      <c r="A2811" s="4" t="s">
        <v>338</v>
      </c>
      <c r="B2811" s="4" t="s">
        <v>64</v>
      </c>
      <c r="F2811" s="4" t="s">
        <v>9</v>
      </c>
      <c r="G2811" s="4" t="s">
        <v>339</v>
      </c>
      <c r="H2811" s="6" t="s">
        <v>11</v>
      </c>
    </row>
    <row r="2812" spans="1:8" x14ac:dyDescent="0.25">
      <c r="A2812" s="4" t="str">
        <f>"BOTTONS FUNCIONARIOS "</f>
        <v xml:space="preserve">BOTTONS FUNCIONARIOS </v>
      </c>
      <c r="B2812" s="4" t="s">
        <v>64</v>
      </c>
      <c r="F2812" s="4" t="s">
        <v>9</v>
      </c>
      <c r="G2812" s="4" t="s">
        <v>383</v>
      </c>
      <c r="H2812" s="6" t="s">
        <v>11</v>
      </c>
    </row>
    <row r="2813" spans="1:8" x14ac:dyDescent="0.25">
      <c r="A2813" s="4" t="s">
        <v>674</v>
      </c>
      <c r="B2813" s="4" t="s">
        <v>64</v>
      </c>
      <c r="F2813" s="4" t="s">
        <v>9</v>
      </c>
      <c r="G2813" s="4" t="s">
        <v>675</v>
      </c>
      <c r="H2813" s="6" t="s">
        <v>11</v>
      </c>
    </row>
    <row r="2814" spans="1:8" x14ac:dyDescent="0.25">
      <c r="A2814" s="4" t="s">
        <v>2333</v>
      </c>
      <c r="B2814" s="4" t="s">
        <v>64</v>
      </c>
      <c r="F2814" s="4" t="s">
        <v>66</v>
      </c>
      <c r="G2814" s="4" t="s">
        <v>2334</v>
      </c>
      <c r="H2814" s="6" t="s">
        <v>11</v>
      </c>
    </row>
    <row r="2815" spans="1:8" x14ac:dyDescent="0.25">
      <c r="A2815" s="4" t="s">
        <v>2335</v>
      </c>
      <c r="B2815" s="4" t="s">
        <v>64</v>
      </c>
      <c r="F2815" s="4" t="s">
        <v>66</v>
      </c>
      <c r="G2815" s="4" t="s">
        <v>2336</v>
      </c>
      <c r="H2815" s="6" t="s">
        <v>11</v>
      </c>
    </row>
    <row r="2816" spans="1:8" x14ac:dyDescent="0.25">
      <c r="A2816" s="4" t="s">
        <v>2364</v>
      </c>
      <c r="B2816" s="4" t="s">
        <v>64</v>
      </c>
      <c r="F2816" s="4" t="s">
        <v>9</v>
      </c>
      <c r="G2816" s="4" t="s">
        <v>2365</v>
      </c>
      <c r="H2816" s="6" t="s">
        <v>11</v>
      </c>
    </row>
    <row r="2817" spans="1:8" x14ac:dyDescent="0.25">
      <c r="A2817" s="4" t="s">
        <v>2386</v>
      </c>
      <c r="B2817" s="4" t="s">
        <v>64</v>
      </c>
      <c r="F2817" s="4" t="s">
        <v>9</v>
      </c>
      <c r="G2817" s="4" t="s">
        <v>2387</v>
      </c>
      <c r="H2817" s="6" t="s">
        <v>11</v>
      </c>
    </row>
    <row r="2818" spans="1:8" x14ac:dyDescent="0.25">
      <c r="A2818" s="4" t="s">
        <v>2399</v>
      </c>
      <c r="B2818" s="4" t="s">
        <v>64</v>
      </c>
      <c r="C2818" s="5">
        <v>23.4</v>
      </c>
      <c r="D2818" s="5">
        <v>11.7</v>
      </c>
      <c r="F2818" s="4" t="s">
        <v>9</v>
      </c>
      <c r="G2818" s="4" t="s">
        <v>2400</v>
      </c>
      <c r="H2818" s="6" t="s">
        <v>11</v>
      </c>
    </row>
    <row r="2819" spans="1:8" x14ac:dyDescent="0.25">
      <c r="A2819" s="4" t="str">
        <f>"CUBA BANDEJA "</f>
        <v xml:space="preserve">CUBA BANDEJA </v>
      </c>
      <c r="B2819" s="4" t="s">
        <v>64</v>
      </c>
      <c r="F2819" s="4" t="s">
        <v>9</v>
      </c>
      <c r="G2819" s="4" t="s">
        <v>2431</v>
      </c>
      <c r="H2819" s="6" t="s">
        <v>11</v>
      </c>
    </row>
    <row r="2820" spans="1:8" x14ac:dyDescent="0.25">
      <c r="A2820" s="4" t="str">
        <f>"ESPATULA "</f>
        <v xml:space="preserve">ESPATULA </v>
      </c>
      <c r="B2820" s="4" t="s">
        <v>64</v>
      </c>
      <c r="F2820" s="4" t="s">
        <v>9</v>
      </c>
      <c r="G2820" s="4" t="s">
        <v>2900</v>
      </c>
      <c r="H2820" s="6" t="s">
        <v>11</v>
      </c>
    </row>
    <row r="2821" spans="1:8" x14ac:dyDescent="0.25">
      <c r="A2821" s="4" t="s">
        <v>2902</v>
      </c>
      <c r="B2821" s="4" t="s">
        <v>64</v>
      </c>
      <c r="F2821" s="4" t="s">
        <v>9</v>
      </c>
      <c r="G2821" s="4" t="s">
        <v>2903</v>
      </c>
      <c r="H2821" s="6" t="s">
        <v>11</v>
      </c>
    </row>
    <row r="2822" spans="1:8" x14ac:dyDescent="0.25">
      <c r="A2822" s="4" t="str">
        <f>"ESTRADO "</f>
        <v xml:space="preserve">ESTRADO </v>
      </c>
      <c r="B2822" s="4" t="s">
        <v>64</v>
      </c>
      <c r="F2822" s="4" t="s">
        <v>9</v>
      </c>
      <c r="G2822" s="4" t="s">
        <v>2934</v>
      </c>
      <c r="H2822" s="6" t="s">
        <v>11</v>
      </c>
    </row>
    <row r="2823" spans="1:8" x14ac:dyDescent="0.25">
      <c r="A2823" s="4" t="s">
        <v>2949</v>
      </c>
      <c r="B2823" s="4" t="s">
        <v>64</v>
      </c>
      <c r="F2823" s="4" t="s">
        <v>9</v>
      </c>
      <c r="G2823" s="4" t="s">
        <v>2950</v>
      </c>
      <c r="H2823" s="6" t="s">
        <v>11</v>
      </c>
    </row>
    <row r="2824" spans="1:8" x14ac:dyDescent="0.25">
      <c r="A2824" s="4" t="s">
        <v>2951</v>
      </c>
      <c r="B2824" s="4" t="s">
        <v>64</v>
      </c>
      <c r="F2824" s="4" t="s">
        <v>9</v>
      </c>
      <c r="G2824" s="4" t="s">
        <v>2952</v>
      </c>
      <c r="H2824" s="6" t="s">
        <v>11</v>
      </c>
    </row>
    <row r="2825" spans="1:8" x14ac:dyDescent="0.25">
      <c r="A2825" s="4" t="s">
        <v>3055</v>
      </c>
      <c r="B2825" s="4" t="s">
        <v>64</v>
      </c>
      <c r="F2825" s="4" t="s">
        <v>9</v>
      </c>
      <c r="G2825" s="4" t="s">
        <v>3056</v>
      </c>
      <c r="H2825" s="6" t="s">
        <v>11</v>
      </c>
    </row>
    <row r="2826" spans="1:8" x14ac:dyDescent="0.25">
      <c r="A2826" s="4" t="s">
        <v>3062</v>
      </c>
      <c r="B2826" s="4" t="s">
        <v>64</v>
      </c>
      <c r="F2826" s="4" t="s">
        <v>9</v>
      </c>
      <c r="G2826" s="4" t="s">
        <v>3063</v>
      </c>
      <c r="H2826" s="6" t="s">
        <v>11</v>
      </c>
    </row>
    <row r="2827" spans="1:8" x14ac:dyDescent="0.25">
      <c r="A2827" s="4" t="s">
        <v>3064</v>
      </c>
      <c r="B2827" s="4" t="s">
        <v>64</v>
      </c>
      <c r="C2827" s="5">
        <v>563.4</v>
      </c>
      <c r="D2827" s="5">
        <v>281.7</v>
      </c>
      <c r="F2827" s="4" t="s">
        <v>9</v>
      </c>
      <c r="G2827" s="4" t="s">
        <v>3065</v>
      </c>
      <c r="H2827" s="6" t="s">
        <v>11</v>
      </c>
    </row>
    <row r="2828" spans="1:8" x14ac:dyDescent="0.25">
      <c r="A2828" s="4" t="s">
        <v>3066</v>
      </c>
      <c r="B2828" s="4" t="s">
        <v>64</v>
      </c>
      <c r="F2828" s="4" t="s">
        <v>9</v>
      </c>
      <c r="G2828" s="4" t="s">
        <v>3067</v>
      </c>
      <c r="H2828" s="6" t="s">
        <v>11</v>
      </c>
    </row>
    <row r="2829" spans="1:8" x14ac:dyDescent="0.25">
      <c r="A2829" s="4" t="str">
        <f>"GAS P/ MAÇARICO - ESTOQUE TAP "</f>
        <v xml:space="preserve">GAS P/ MAÇARICO - ESTOQUE TAP </v>
      </c>
      <c r="B2829" s="4" t="s">
        <v>64</v>
      </c>
      <c r="F2829" s="4" t="s">
        <v>9</v>
      </c>
      <c r="G2829" s="4" t="s">
        <v>3088</v>
      </c>
      <c r="H2829" s="6" t="s">
        <v>11</v>
      </c>
    </row>
    <row r="2830" spans="1:8" x14ac:dyDescent="0.25">
      <c r="A2830" s="4" t="str">
        <f>"ISQUEIRO - ESTOQUE TAP "</f>
        <v xml:space="preserve">ISQUEIRO - ESTOQUE TAP </v>
      </c>
      <c r="B2830" s="4" t="s">
        <v>64</v>
      </c>
      <c r="F2830" s="4" t="s">
        <v>9</v>
      </c>
      <c r="G2830" s="4" t="s">
        <v>3216</v>
      </c>
      <c r="H2830" s="6" t="s">
        <v>11</v>
      </c>
    </row>
    <row r="2831" spans="1:8" x14ac:dyDescent="0.25">
      <c r="A2831" s="4" t="s">
        <v>3423</v>
      </c>
      <c r="B2831" s="4" t="s">
        <v>64</v>
      </c>
      <c r="F2831" s="4" t="s">
        <v>9</v>
      </c>
      <c r="G2831" s="4" t="s">
        <v>3424</v>
      </c>
      <c r="H2831" s="6" t="s">
        <v>11</v>
      </c>
    </row>
    <row r="2832" spans="1:8" x14ac:dyDescent="0.25">
      <c r="A2832" s="4" t="s">
        <v>3984</v>
      </c>
      <c r="B2832" s="4" t="s">
        <v>64</v>
      </c>
      <c r="F2832" s="4" t="s">
        <v>9</v>
      </c>
      <c r="G2832" s="4" t="s">
        <v>3985</v>
      </c>
      <c r="H2832" s="6" t="s">
        <v>11</v>
      </c>
    </row>
    <row r="2833" spans="1:8" x14ac:dyDescent="0.25">
      <c r="A2833" s="4" t="s">
        <v>3992</v>
      </c>
      <c r="B2833" s="4" t="s">
        <v>64</v>
      </c>
      <c r="C2833" s="5">
        <v>185.82</v>
      </c>
      <c r="D2833" s="5">
        <v>79.13</v>
      </c>
      <c r="F2833" s="4" t="s">
        <v>9</v>
      </c>
      <c r="G2833" s="4" t="s">
        <v>3993</v>
      </c>
      <c r="H2833" s="6" t="s">
        <v>11</v>
      </c>
    </row>
    <row r="2834" spans="1:8" x14ac:dyDescent="0.25">
      <c r="A2834" s="4" t="str">
        <f>"PAPEL INTERFANE "</f>
        <v xml:space="preserve">PAPEL INTERFANE </v>
      </c>
      <c r="B2834" s="4" t="s">
        <v>64</v>
      </c>
      <c r="F2834" s="4" t="s">
        <v>9</v>
      </c>
      <c r="G2834" s="4" t="s">
        <v>4029</v>
      </c>
      <c r="H2834" s="6" t="s">
        <v>11</v>
      </c>
    </row>
    <row r="2835" spans="1:8" x14ac:dyDescent="0.25">
      <c r="A2835" s="4" t="s">
        <v>4067</v>
      </c>
      <c r="B2835" s="4" t="s">
        <v>64</v>
      </c>
      <c r="F2835" s="4" t="s">
        <v>9</v>
      </c>
      <c r="G2835" s="4" t="s">
        <v>4068</v>
      </c>
      <c r="H2835" s="6" t="s">
        <v>11</v>
      </c>
    </row>
    <row r="2836" spans="1:8" x14ac:dyDescent="0.25">
      <c r="A2836" s="4" t="str">
        <f>"PENEIRA "</f>
        <v xml:space="preserve">PENEIRA </v>
      </c>
      <c r="B2836" s="4" t="s">
        <v>64</v>
      </c>
      <c r="F2836" s="4" t="s">
        <v>9</v>
      </c>
      <c r="G2836" s="4" t="s">
        <v>4083</v>
      </c>
      <c r="H2836" s="6" t="s">
        <v>11</v>
      </c>
    </row>
    <row r="2837" spans="1:8" x14ac:dyDescent="0.25">
      <c r="A2837" s="4" t="s">
        <v>4094</v>
      </c>
      <c r="B2837" s="4" t="s">
        <v>64</v>
      </c>
      <c r="F2837" s="4" t="s">
        <v>9</v>
      </c>
      <c r="G2837" s="4" t="s">
        <v>4095</v>
      </c>
      <c r="H2837" s="6" t="s">
        <v>11</v>
      </c>
    </row>
    <row r="2838" spans="1:8" x14ac:dyDescent="0.25">
      <c r="A2838" s="4" t="s">
        <v>4589</v>
      </c>
      <c r="B2838" s="4" t="s">
        <v>64</v>
      </c>
      <c r="F2838" s="4" t="s">
        <v>9</v>
      </c>
      <c r="G2838" s="4" t="s">
        <v>4590</v>
      </c>
      <c r="H2838" s="6" t="s">
        <v>11</v>
      </c>
    </row>
    <row r="2839" spans="1:8" x14ac:dyDescent="0.25">
      <c r="A2839" s="4" t="s">
        <v>4595</v>
      </c>
      <c r="B2839" s="4" t="s">
        <v>64</v>
      </c>
      <c r="F2839" s="4" t="s">
        <v>9</v>
      </c>
      <c r="G2839" s="4" t="s">
        <v>4596</v>
      </c>
      <c r="H2839" s="6" t="s">
        <v>11</v>
      </c>
    </row>
    <row r="2840" spans="1:8" x14ac:dyDescent="0.25">
      <c r="A2840" s="4" t="s">
        <v>4609</v>
      </c>
      <c r="B2840" s="4" t="s">
        <v>64</v>
      </c>
      <c r="F2840" s="4" t="s">
        <v>9</v>
      </c>
      <c r="G2840" s="4" t="s">
        <v>4610</v>
      </c>
      <c r="H2840" s="6" t="s">
        <v>11</v>
      </c>
    </row>
    <row r="2841" spans="1:8" x14ac:dyDescent="0.25">
      <c r="A2841" s="4" t="s">
        <v>4619</v>
      </c>
      <c r="B2841" s="4" t="s">
        <v>64</v>
      </c>
      <c r="F2841" s="4" t="s">
        <v>9</v>
      </c>
      <c r="G2841" s="4" t="s">
        <v>4620</v>
      </c>
      <c r="H2841" s="6" t="s">
        <v>11</v>
      </c>
    </row>
    <row r="2842" spans="1:8" x14ac:dyDescent="0.25">
      <c r="A2842" s="4" t="s">
        <v>4687</v>
      </c>
      <c r="B2842" s="4" t="s">
        <v>64</v>
      </c>
      <c r="F2842" s="4" t="s">
        <v>9</v>
      </c>
      <c r="G2842" s="4" t="s">
        <v>4688</v>
      </c>
      <c r="H2842" s="6" t="s">
        <v>11</v>
      </c>
    </row>
    <row r="2843" spans="1:8" x14ac:dyDescent="0.25">
      <c r="A2843" s="4" t="s">
        <v>4715</v>
      </c>
      <c r="B2843" s="4" t="s">
        <v>64</v>
      </c>
      <c r="F2843" s="4" t="s">
        <v>9</v>
      </c>
      <c r="G2843" s="4" t="s">
        <v>4716</v>
      </c>
      <c r="H2843" s="6" t="s">
        <v>11</v>
      </c>
    </row>
    <row r="2844" spans="1:8" x14ac:dyDescent="0.25">
      <c r="A2844" s="4" t="s">
        <v>291</v>
      </c>
      <c r="B2844" s="4" t="s">
        <v>292</v>
      </c>
      <c r="D2844" s="5">
        <v>8.9499999999999993</v>
      </c>
      <c r="F2844" s="4" t="s">
        <v>9</v>
      </c>
      <c r="G2844" s="4" t="s">
        <v>293</v>
      </c>
      <c r="H2844" s="6" t="s">
        <v>11</v>
      </c>
    </row>
    <row r="2845" spans="1:8" x14ac:dyDescent="0.25">
      <c r="A2845" s="4" t="s">
        <v>294</v>
      </c>
      <c r="B2845" s="4" t="s">
        <v>292</v>
      </c>
      <c r="D2845" s="5">
        <v>3.66</v>
      </c>
      <c r="F2845" s="4" t="s">
        <v>9</v>
      </c>
      <c r="G2845" s="4" t="s">
        <v>295</v>
      </c>
      <c r="H2845" s="6" t="s">
        <v>11</v>
      </c>
    </row>
    <row r="2846" spans="1:8" x14ac:dyDescent="0.25">
      <c r="A2846" s="4" t="s">
        <v>296</v>
      </c>
      <c r="B2846" s="4" t="s">
        <v>292</v>
      </c>
      <c r="D2846" s="5">
        <v>7.85</v>
      </c>
      <c r="F2846" s="4" t="s">
        <v>9</v>
      </c>
      <c r="G2846" s="4" t="s">
        <v>297</v>
      </c>
      <c r="H2846" s="6" t="s">
        <v>11</v>
      </c>
    </row>
    <row r="2847" spans="1:8" x14ac:dyDescent="0.25">
      <c r="A2847" s="4" t="s">
        <v>298</v>
      </c>
      <c r="B2847" s="4" t="s">
        <v>292</v>
      </c>
      <c r="D2847" s="5">
        <v>2.46</v>
      </c>
      <c r="F2847" s="4" t="s">
        <v>9</v>
      </c>
      <c r="G2847" s="4" t="s">
        <v>299</v>
      </c>
      <c r="H2847" s="6" t="s">
        <v>11</v>
      </c>
    </row>
    <row r="2848" spans="1:8" x14ac:dyDescent="0.25">
      <c r="A2848" s="4" t="s">
        <v>300</v>
      </c>
      <c r="B2848" s="4" t="s">
        <v>292</v>
      </c>
      <c r="D2848" s="5">
        <v>2.67</v>
      </c>
      <c r="F2848" s="4" t="s">
        <v>9</v>
      </c>
      <c r="G2848" s="4" t="s">
        <v>301</v>
      </c>
      <c r="H2848" s="6" t="s">
        <v>11</v>
      </c>
    </row>
    <row r="2849" spans="1:8" x14ac:dyDescent="0.25">
      <c r="A2849" s="4" t="str">
        <f>"BG - RAVIOLI DE MUÇARELA DE BUFALA "</f>
        <v xml:space="preserve">BG - RAVIOLI DE MUÇARELA DE BUFALA </v>
      </c>
      <c r="B2849" s="4" t="s">
        <v>292</v>
      </c>
      <c r="C2849" s="5">
        <v>89.9</v>
      </c>
      <c r="D2849" s="5">
        <v>18.47</v>
      </c>
      <c r="F2849" s="4" t="s">
        <v>9</v>
      </c>
      <c r="G2849" s="4" t="s">
        <v>302</v>
      </c>
      <c r="H2849" s="6" t="s">
        <v>11</v>
      </c>
    </row>
    <row r="2850" spans="1:8" x14ac:dyDescent="0.25">
      <c r="A2850" s="4" t="s">
        <v>303</v>
      </c>
      <c r="B2850" s="4" t="s">
        <v>292</v>
      </c>
      <c r="C2850" s="5">
        <v>89.9</v>
      </c>
      <c r="D2850" s="5">
        <v>9.82</v>
      </c>
      <c r="F2850" s="4" t="s">
        <v>9</v>
      </c>
      <c r="G2850" s="4" t="s">
        <v>304</v>
      </c>
      <c r="H2850" s="6" t="s">
        <v>11</v>
      </c>
    </row>
    <row r="2851" spans="1:8" x14ac:dyDescent="0.25">
      <c r="A2851" s="4" t="str">
        <f>"BG - SALADA CAESAR "</f>
        <v xml:space="preserve">BG - SALADA CAESAR </v>
      </c>
      <c r="B2851" s="4" t="s">
        <v>292</v>
      </c>
      <c r="D2851" s="5">
        <v>6.01</v>
      </c>
      <c r="F2851" s="4" t="s">
        <v>9</v>
      </c>
      <c r="G2851" s="4" t="s">
        <v>305</v>
      </c>
      <c r="H2851" s="6" t="s">
        <v>11</v>
      </c>
    </row>
    <row r="2852" spans="1:8" x14ac:dyDescent="0.25">
      <c r="A2852" s="4" t="str">
        <f>"BG - SALADA CAPRESE "</f>
        <v xml:space="preserve">BG - SALADA CAPRESE </v>
      </c>
      <c r="B2852" s="4" t="s">
        <v>292</v>
      </c>
      <c r="D2852" s="5">
        <v>3.86</v>
      </c>
      <c r="F2852" s="4" t="s">
        <v>9</v>
      </c>
      <c r="G2852" s="4" t="s">
        <v>306</v>
      </c>
      <c r="H2852" s="6" t="s">
        <v>11</v>
      </c>
    </row>
    <row r="2853" spans="1:8" x14ac:dyDescent="0.25">
      <c r="A2853" s="4" t="s">
        <v>307</v>
      </c>
      <c r="B2853" s="4" t="s">
        <v>292</v>
      </c>
      <c r="D2853" s="5">
        <v>1.22</v>
      </c>
      <c r="F2853" s="4" t="s">
        <v>9</v>
      </c>
      <c r="G2853" s="4" t="s">
        <v>308</v>
      </c>
      <c r="H2853" s="6" t="s">
        <v>11</v>
      </c>
    </row>
    <row r="2854" spans="1:8" x14ac:dyDescent="0.25">
      <c r="A2854" s="4" t="str">
        <f>"BG - TOP SIRLOIN "</f>
        <v xml:space="preserve">BG - TOP SIRLOIN </v>
      </c>
      <c r="B2854" s="4" t="s">
        <v>292</v>
      </c>
      <c r="C2854" s="5">
        <v>89.9</v>
      </c>
      <c r="D2854" s="5">
        <v>15.96</v>
      </c>
      <c r="F2854" s="4" t="s">
        <v>9</v>
      </c>
      <c r="G2854" s="4" t="s">
        <v>309</v>
      </c>
      <c r="H2854" s="6" t="s">
        <v>11</v>
      </c>
    </row>
  </sheetData>
  <sortState xmlns:xlrd2="http://schemas.microsoft.com/office/spreadsheetml/2017/richdata2" ref="A2:H2854">
    <sortCondition descending="1" ref="B2:B28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Lourenço</cp:lastModifiedBy>
  <dcterms:created xsi:type="dcterms:W3CDTF">2025-05-20T19:23:56Z</dcterms:created>
  <dcterms:modified xsi:type="dcterms:W3CDTF">2025-05-20T19:44:30Z</dcterms:modified>
</cp:coreProperties>
</file>