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E Book\"/>
    </mc:Choice>
  </mc:AlternateContent>
  <bookViews>
    <workbookView xWindow="-108" yWindow="-108" windowWidth="23256" windowHeight="12600" tabRatio="860" firstSheet="15" activeTab="18"/>
  </bookViews>
  <sheets>
    <sheet name="1.1 核心员工家谱" sheetId="13" r:id="rId1"/>
    <sheet name="1.2 核心员工分析 " sheetId="14" r:id="rId2"/>
    <sheet name="1.3 核心员工访谈问卷" sheetId="23" r:id="rId3"/>
    <sheet name="1.4 员工波动分析" sheetId="15" r:id="rId4"/>
    <sheet name="2.1 发展史" sheetId="32" r:id="rId5"/>
    <sheet name="2.2 业务蓝图" sheetId="12" r:id="rId6"/>
    <sheet name="2.3 供应商、客户、竞争对手访谈问卷" sheetId="25" r:id="rId7"/>
    <sheet name="3. 互联网企业用户行为分析" sheetId="24" r:id="rId8"/>
    <sheet name="4.1 财务报表指标分析 " sheetId="11" r:id="rId9"/>
    <sheet name="4.2 财务运营指标分析" sheetId="26" r:id="rId10"/>
    <sheet name="4.3 销售 - 合同检查" sheetId="16" r:id="rId11"/>
    <sheet name="4.4 销售 (毛利&amp;账龄)" sheetId="18" r:id="rId12"/>
    <sheet name="4.5 采购" sheetId="27" r:id="rId13"/>
    <sheet name="4.6 贷款&amp;抵押 " sheetId="19" r:id="rId14"/>
    <sheet name="5.1 公司战略检查清单" sheetId="28" r:id="rId15"/>
    <sheet name="5.2 创新、执行力检查清单 " sheetId="30" r:id="rId16"/>
    <sheet name="5.3 组织能力检查清单  " sheetId="29" r:id="rId17"/>
    <sheet name="6.1  现金流贴现模型 " sheetId="36" r:id="rId18"/>
    <sheet name="6.2 IRR计算" sheetId="35" r:id="rId19"/>
    <sheet name="7. 1 股权调整" sheetId="10" r:id="rId20"/>
    <sheet name="7.2 股权比例计算" sheetId="38" r:id="rId21"/>
    <sheet name="7. 3 增值扩股计算方法" sheetId="37" r:id="rId22"/>
    <sheet name="7.4 若干公式" sheetId="33" r:id="rId23"/>
  </sheets>
  <definedNames>
    <definedName name="_ftn1" localSheetId="21">'7. 3 增值扩股计算方法'!#REF!</definedName>
    <definedName name="_ftnref1" localSheetId="21">'7. 3 增值扩股计算方法'!#REF!</definedName>
    <definedName name="value_per_share">#REF!</definedName>
    <definedName name="valueçper_share">#REF!</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4" i="38" l="1"/>
  <c r="C33" i="38"/>
  <c r="C35" i="38" s="1"/>
  <c r="I30" i="38"/>
  <c r="C26" i="38"/>
  <c r="D30" i="38" s="1"/>
  <c r="H30" i="38" s="1"/>
  <c r="I10" i="38"/>
  <c r="D10" i="38"/>
  <c r="H10" i="38" s="1"/>
  <c r="C6" i="38"/>
  <c r="K10" i="38" s="1"/>
  <c r="J30" i="38" l="1"/>
  <c r="C30" i="38" s="1"/>
  <c r="F10" i="38"/>
  <c r="L10" i="38"/>
  <c r="E11" i="38"/>
  <c r="G11" i="38" s="1"/>
  <c r="J10" i="38"/>
  <c r="Q6" i="38" s="1"/>
  <c r="L30" i="38"/>
  <c r="K30" i="38"/>
  <c r="E10" i="37"/>
  <c r="D10" i="37"/>
  <c r="C17" i="37"/>
  <c r="G10" i="37" l="1"/>
  <c r="G11" i="37" s="1"/>
  <c r="C10" i="37"/>
  <c r="C11" i="37" s="1"/>
  <c r="I11" i="38"/>
  <c r="E12" i="38" s="1"/>
  <c r="I12" i="38" s="1"/>
  <c r="E13" i="38" s="1"/>
  <c r="P6" i="38"/>
  <c r="K11" i="38"/>
  <c r="L11" i="38" s="1"/>
  <c r="M10" i="38"/>
  <c r="K31" i="38"/>
  <c r="L31" i="38" s="1"/>
  <c r="M30" i="38"/>
  <c r="E31" i="38" s="1"/>
  <c r="P7" i="38"/>
  <c r="H11" i="38"/>
  <c r="J11" i="38" s="1"/>
  <c r="Q7" i="38" s="1"/>
  <c r="D9" i="37"/>
  <c r="D11" i="37" s="1"/>
  <c r="J12" i="35"/>
  <c r="J11" i="35"/>
  <c r="J10" i="35"/>
  <c r="H13" i="38" l="1"/>
  <c r="I13" i="38"/>
  <c r="I14" i="38" s="1"/>
  <c r="H12" i="38"/>
  <c r="J12" i="38" s="1"/>
  <c r="Q12" i="38" s="1"/>
  <c r="D14" i="38"/>
  <c r="J13" i="38"/>
  <c r="Q16" i="38" s="1"/>
  <c r="C31" i="38"/>
  <c r="H31" i="38"/>
  <c r="I31" i="38"/>
  <c r="M31" i="38" s="1"/>
  <c r="K12" i="38"/>
  <c r="M11" i="38"/>
  <c r="G12" i="38" s="1"/>
  <c r="C18" i="37"/>
  <c r="C19" i="37"/>
  <c r="C20" i="37" s="1"/>
  <c r="C103" i="36"/>
  <c r="D86" i="36"/>
  <c r="D87" i="36" s="1"/>
  <c r="G87" i="36"/>
  <c r="G88" i="36" s="1"/>
  <c r="G89" i="36" s="1"/>
  <c r="G90" i="36" s="1"/>
  <c r="G91" i="36" s="1"/>
  <c r="G92" i="36" s="1"/>
  <c r="G93" i="36" s="1"/>
  <c r="G94" i="36" s="1"/>
  <c r="G95" i="36" s="1"/>
  <c r="G96" i="36" s="1"/>
  <c r="G97" i="36" s="1"/>
  <c r="J76" i="36"/>
  <c r="K76" i="36" s="1"/>
  <c r="J77" i="36"/>
  <c r="K77" i="36" s="1"/>
  <c r="J78" i="36"/>
  <c r="K78" i="36" s="1"/>
  <c r="J79" i="36"/>
  <c r="K79" i="36" s="1"/>
  <c r="D34" i="36"/>
  <c r="E34" i="36"/>
  <c r="E35" i="36" s="1"/>
  <c r="E36" i="36" s="1"/>
  <c r="E37" i="36" s="1"/>
  <c r="E38" i="36" s="1"/>
  <c r="E39" i="36" s="1"/>
  <c r="E40" i="36" s="1"/>
  <c r="E41" i="36" s="1"/>
  <c r="E42" i="36" s="1"/>
  <c r="E43" i="36" s="1"/>
  <c r="E44" i="36" s="1"/>
  <c r="H79" i="36"/>
  <c r="H78" i="36"/>
  <c r="H77" i="36"/>
  <c r="H76" i="36"/>
  <c r="E26" i="36"/>
  <c r="F14" i="33"/>
  <c r="F15" i="33"/>
  <c r="F13" i="33"/>
  <c r="F5" i="33"/>
  <c r="C91" i="11"/>
  <c r="C119" i="11" s="1"/>
  <c r="D91" i="11"/>
  <c r="E91" i="11"/>
  <c r="E119" i="11" s="1"/>
  <c r="F91" i="11"/>
  <c r="F119" i="11" s="1"/>
  <c r="D143" i="11"/>
  <c r="E143" i="11"/>
  <c r="F143" i="11"/>
  <c r="C143" i="11"/>
  <c r="C133" i="11"/>
  <c r="F129" i="11"/>
  <c r="F137" i="11" s="1"/>
  <c r="F141" i="11" s="1"/>
  <c r="E129" i="11"/>
  <c r="E137" i="11" s="1"/>
  <c r="D129" i="11"/>
  <c r="D137" i="11" s="1"/>
  <c r="C129" i="11"/>
  <c r="C211" i="11"/>
  <c r="C217" i="11" s="1"/>
  <c r="D112" i="11"/>
  <c r="E112" i="11"/>
  <c r="F112" i="11"/>
  <c r="C112" i="11"/>
  <c r="D6" i="26"/>
  <c r="E6" i="26"/>
  <c r="F6" i="26"/>
  <c r="G6" i="26"/>
  <c r="H6" i="26"/>
  <c r="I6" i="26"/>
  <c r="J6" i="26"/>
  <c r="K6" i="26"/>
  <c r="L6" i="26"/>
  <c r="M6" i="26"/>
  <c r="N6" i="26"/>
  <c r="C11" i="26"/>
  <c r="D11" i="26"/>
  <c r="E11" i="26"/>
  <c r="F11" i="26"/>
  <c r="G11" i="26"/>
  <c r="H11" i="26"/>
  <c r="I11" i="26"/>
  <c r="J11" i="26"/>
  <c r="K11" i="26"/>
  <c r="L11" i="26"/>
  <c r="M11" i="26"/>
  <c r="N11" i="26"/>
  <c r="C17" i="26"/>
  <c r="D17" i="26"/>
  <c r="E17" i="26"/>
  <c r="F17" i="26"/>
  <c r="G17" i="26"/>
  <c r="H17" i="26"/>
  <c r="I17" i="26"/>
  <c r="J17" i="26"/>
  <c r="K17" i="26"/>
  <c r="L17" i="26"/>
  <c r="M17" i="26"/>
  <c r="N17" i="26"/>
  <c r="C18" i="26"/>
  <c r="D18" i="26"/>
  <c r="E18" i="26"/>
  <c r="F18" i="26"/>
  <c r="G18" i="26"/>
  <c r="H18" i="26"/>
  <c r="I18" i="26"/>
  <c r="J18" i="26"/>
  <c r="K18" i="26"/>
  <c r="L18" i="26"/>
  <c r="M18" i="26"/>
  <c r="N18" i="26"/>
  <c r="C88" i="11"/>
  <c r="C113" i="11" s="1"/>
  <c r="D88" i="11"/>
  <c r="D113" i="11" s="1"/>
  <c r="E88" i="11"/>
  <c r="E101" i="11" s="1"/>
  <c r="F88" i="11"/>
  <c r="F113" i="11" s="1"/>
  <c r="C89" i="11"/>
  <c r="D89" i="11"/>
  <c r="E89" i="11"/>
  <c r="F89" i="11"/>
  <c r="C90" i="11"/>
  <c r="D90" i="11"/>
  <c r="E90" i="11"/>
  <c r="F90" i="11"/>
  <c r="D119" i="11"/>
  <c r="D92" i="11"/>
  <c r="D95" i="11" s="1"/>
  <c r="E92" i="11"/>
  <c r="E95" i="11" s="1"/>
  <c r="F92" i="11"/>
  <c r="F95" i="11" s="1"/>
  <c r="D93" i="11"/>
  <c r="E93" i="11"/>
  <c r="F93" i="11"/>
  <c r="D94" i="11"/>
  <c r="E94" i="11"/>
  <c r="F94" i="11"/>
  <c r="D100" i="11"/>
  <c r="E100" i="11"/>
  <c r="F100" i="11"/>
  <c r="C140" i="11"/>
  <c r="D140" i="11"/>
  <c r="E140" i="11"/>
  <c r="F140" i="11"/>
  <c r="C142" i="11"/>
  <c r="D142" i="11"/>
  <c r="E142" i="11"/>
  <c r="F142" i="11"/>
  <c r="D117" i="11"/>
  <c r="E117" i="11"/>
  <c r="F117" i="11"/>
  <c r="C120" i="11"/>
  <c r="D120" i="11"/>
  <c r="E120" i="11"/>
  <c r="F120" i="11"/>
  <c r="C121" i="11"/>
  <c r="D121" i="11"/>
  <c r="E121" i="11"/>
  <c r="F121" i="11"/>
  <c r="F104" i="11"/>
  <c r="O250" i="24"/>
  <c r="O251" i="24"/>
  <c r="O252" i="24"/>
  <c r="O253" i="24"/>
  <c r="C254" i="24"/>
  <c r="D254" i="24"/>
  <c r="E254" i="24"/>
  <c r="F254" i="24"/>
  <c r="G254" i="24"/>
  <c r="H254" i="24"/>
  <c r="I254" i="24"/>
  <c r="J254" i="24"/>
  <c r="K254" i="24"/>
  <c r="L254" i="24"/>
  <c r="M254" i="24"/>
  <c r="N254" i="24"/>
  <c r="O249" i="24"/>
  <c r="C238" i="24"/>
  <c r="C61" i="24"/>
  <c r="C71" i="24" s="1"/>
  <c r="C73" i="24" s="1"/>
  <c r="N166" i="24"/>
  <c r="M166" i="24"/>
  <c r="L166" i="24"/>
  <c r="K166" i="24"/>
  <c r="J166" i="24"/>
  <c r="I166" i="24"/>
  <c r="H166" i="24"/>
  <c r="G166" i="24"/>
  <c r="F166" i="24"/>
  <c r="E166" i="24"/>
  <c r="D166" i="24"/>
  <c r="C166" i="24"/>
  <c r="C145" i="24"/>
  <c r="B145" i="24"/>
  <c r="C129" i="24"/>
  <c r="B129" i="24"/>
  <c r="N61" i="24"/>
  <c r="N30" i="24" s="1"/>
  <c r="M61" i="24"/>
  <c r="M30" i="24" s="1"/>
  <c r="L61" i="24"/>
  <c r="K61" i="24"/>
  <c r="K70" i="24" s="1"/>
  <c r="J61" i="24"/>
  <c r="J70" i="24" s="1"/>
  <c r="I61" i="24"/>
  <c r="I71" i="24" s="1"/>
  <c r="H61" i="24"/>
  <c r="H71" i="24" s="1"/>
  <c r="G61" i="24"/>
  <c r="G71" i="24" s="1"/>
  <c r="F61" i="24"/>
  <c r="F30" i="24" s="1"/>
  <c r="E61" i="24"/>
  <c r="E30" i="24" s="1"/>
  <c r="D61" i="24"/>
  <c r="D30" i="24" s="1"/>
  <c r="N27" i="24"/>
  <c r="M27" i="24"/>
  <c r="L27" i="24"/>
  <c r="K27" i="24"/>
  <c r="J27" i="24"/>
  <c r="I27" i="24"/>
  <c r="H27" i="24"/>
  <c r="G27" i="24"/>
  <c r="F27" i="24"/>
  <c r="E27" i="24"/>
  <c r="D27" i="24"/>
  <c r="C27" i="24"/>
  <c r="C232" i="24"/>
  <c r="D126" i="24"/>
  <c r="E126" i="24"/>
  <c r="F126" i="24"/>
  <c r="G126" i="24"/>
  <c r="H126" i="24"/>
  <c r="I126" i="24"/>
  <c r="J126" i="24"/>
  <c r="K126" i="24"/>
  <c r="L126" i="24"/>
  <c r="M126" i="24"/>
  <c r="N126" i="24"/>
  <c r="O126" i="24"/>
  <c r="P126" i="24"/>
  <c r="D129" i="24"/>
  <c r="D145" i="24" s="1"/>
  <c r="E129" i="24"/>
  <c r="E145" i="24" s="1"/>
  <c r="F129" i="24"/>
  <c r="F145" i="24" s="1"/>
  <c r="G129" i="24"/>
  <c r="G145" i="24" s="1"/>
  <c r="H129" i="24"/>
  <c r="H145" i="24" s="1"/>
  <c r="I129" i="24"/>
  <c r="I145" i="24" s="1"/>
  <c r="J129" i="24"/>
  <c r="J145" i="24" s="1"/>
  <c r="K129" i="24"/>
  <c r="K145" i="24" s="1"/>
  <c r="L129" i="24"/>
  <c r="L145" i="24" s="1"/>
  <c r="M129" i="24"/>
  <c r="M145" i="24" s="1"/>
  <c r="N129" i="24"/>
  <c r="N145" i="24" s="1"/>
  <c r="O129" i="24"/>
  <c r="O145" i="24" s="1"/>
  <c r="P129" i="24"/>
  <c r="P145" i="24" s="1"/>
  <c r="B130" i="24"/>
  <c r="B146" i="24" s="1"/>
  <c r="C130" i="24"/>
  <c r="C146" i="24" s="1"/>
  <c r="E130" i="24"/>
  <c r="F130" i="24"/>
  <c r="G130" i="24"/>
  <c r="H130" i="24"/>
  <c r="I130" i="24"/>
  <c r="J130" i="24"/>
  <c r="K130" i="24"/>
  <c r="L130" i="24"/>
  <c r="M130" i="24"/>
  <c r="N130" i="24"/>
  <c r="O130" i="24"/>
  <c r="P130" i="24"/>
  <c r="P142" i="24" s="1"/>
  <c r="B131" i="24"/>
  <c r="B147" i="24" s="1"/>
  <c r="C131" i="24"/>
  <c r="C147" i="24" s="1"/>
  <c r="B132" i="24"/>
  <c r="B148" i="24" s="1"/>
  <c r="C132" i="24"/>
  <c r="C148" i="24" s="1"/>
  <c r="B133" i="24"/>
  <c r="B149" i="24" s="1"/>
  <c r="C133" i="24"/>
  <c r="H133" i="24" s="1"/>
  <c r="B134" i="24"/>
  <c r="B150" i="24" s="1"/>
  <c r="C134" i="24"/>
  <c r="F134" i="24" s="1"/>
  <c r="B135" i="24"/>
  <c r="B151" i="24" s="1"/>
  <c r="C135" i="24"/>
  <c r="E135" i="24" s="1"/>
  <c r="B136" i="24"/>
  <c r="B152" i="24" s="1"/>
  <c r="C136" i="24"/>
  <c r="J136" i="24" s="1"/>
  <c r="B137" i="24"/>
  <c r="B153" i="24" s="1"/>
  <c r="C137" i="24"/>
  <c r="E137" i="24" s="1"/>
  <c r="B138" i="24"/>
  <c r="B154" i="24" s="1"/>
  <c r="C138" i="24"/>
  <c r="F138" i="24" s="1"/>
  <c r="B139" i="24"/>
  <c r="B155" i="24" s="1"/>
  <c r="C139" i="24"/>
  <c r="G139" i="24" s="1"/>
  <c r="B140" i="24"/>
  <c r="B156" i="24" s="1"/>
  <c r="C140" i="24"/>
  <c r="B141" i="24"/>
  <c r="B157" i="24" s="1"/>
  <c r="C141" i="24"/>
  <c r="E141" i="24" s="1"/>
  <c r="D142" i="24"/>
  <c r="E146" i="24"/>
  <c r="F146" i="24"/>
  <c r="G146" i="24"/>
  <c r="H146" i="24"/>
  <c r="I146" i="24"/>
  <c r="J146" i="24"/>
  <c r="K146" i="24"/>
  <c r="L146" i="24"/>
  <c r="M146" i="24"/>
  <c r="N146" i="24"/>
  <c r="O146" i="24"/>
  <c r="P146" i="24"/>
  <c r="P158" i="24" s="1"/>
  <c r="E147" i="24"/>
  <c r="F147" i="24"/>
  <c r="G147" i="24"/>
  <c r="H147" i="24"/>
  <c r="I147" i="24"/>
  <c r="J147" i="24"/>
  <c r="K147" i="24"/>
  <c r="L147" i="24"/>
  <c r="M147" i="24"/>
  <c r="N147" i="24"/>
  <c r="O147" i="24"/>
  <c r="O158" i="24" s="1"/>
  <c r="E148" i="24"/>
  <c r="F148" i="24"/>
  <c r="G148" i="24"/>
  <c r="H148" i="24"/>
  <c r="I148" i="24"/>
  <c r="J148" i="24"/>
  <c r="K148" i="24"/>
  <c r="L148" i="24"/>
  <c r="M148" i="24"/>
  <c r="N148" i="24"/>
  <c r="E149" i="24"/>
  <c r="F149" i="24"/>
  <c r="G149" i="24"/>
  <c r="H149" i="24"/>
  <c r="I149" i="24"/>
  <c r="J149" i="24"/>
  <c r="K149" i="24"/>
  <c r="L149" i="24"/>
  <c r="M149" i="24"/>
  <c r="E150" i="24"/>
  <c r="F150" i="24"/>
  <c r="G150" i="24"/>
  <c r="H150" i="24"/>
  <c r="I150" i="24"/>
  <c r="J150" i="24"/>
  <c r="K150" i="24"/>
  <c r="L150" i="24"/>
  <c r="E151" i="24"/>
  <c r="F151" i="24"/>
  <c r="G151" i="24"/>
  <c r="H151" i="24"/>
  <c r="I151" i="24"/>
  <c r="J151" i="24"/>
  <c r="K151" i="24"/>
  <c r="E152" i="24"/>
  <c r="F152" i="24"/>
  <c r="G152" i="24"/>
  <c r="H152" i="24"/>
  <c r="I152" i="24"/>
  <c r="J152" i="24"/>
  <c r="E153" i="24"/>
  <c r="F153" i="24"/>
  <c r="G153" i="24"/>
  <c r="H153" i="24"/>
  <c r="I153" i="24"/>
  <c r="E154" i="24"/>
  <c r="F154" i="24"/>
  <c r="G154" i="24"/>
  <c r="H154" i="24"/>
  <c r="E155" i="24"/>
  <c r="F155" i="24"/>
  <c r="G155" i="24"/>
  <c r="E156" i="24"/>
  <c r="F156" i="24"/>
  <c r="E157" i="24"/>
  <c r="D158" i="24"/>
  <c r="C55" i="24"/>
  <c r="C68" i="24" s="1"/>
  <c r="D55" i="24"/>
  <c r="D68" i="24" s="1"/>
  <c r="E55" i="24"/>
  <c r="E77" i="24" s="1"/>
  <c r="F55" i="24"/>
  <c r="F68" i="24" s="1"/>
  <c r="G55" i="24"/>
  <c r="G68" i="24" s="1"/>
  <c r="H55" i="24"/>
  <c r="H68" i="24" s="1"/>
  <c r="I55" i="24"/>
  <c r="I77" i="24" s="1"/>
  <c r="J55" i="24"/>
  <c r="J68" i="24" s="1"/>
  <c r="K55" i="24"/>
  <c r="K77" i="24" s="1"/>
  <c r="L55" i="24"/>
  <c r="L68" i="24" s="1"/>
  <c r="M55" i="24"/>
  <c r="N55" i="24"/>
  <c r="N77" i="24" s="1"/>
  <c r="C54" i="24"/>
  <c r="D54" i="24" s="1"/>
  <c r="E54" i="24" s="1"/>
  <c r="F54" i="24" s="1"/>
  <c r="G54" i="24" s="1"/>
  <c r="H54" i="24" s="1"/>
  <c r="I54" i="24" s="1"/>
  <c r="J54" i="24" s="1"/>
  <c r="K54" i="24" s="1"/>
  <c r="L54" i="24" s="1"/>
  <c r="M54" i="24" s="1"/>
  <c r="N54" i="24" s="1"/>
  <c r="N63" i="24"/>
  <c r="M62" i="24"/>
  <c r="M63" i="24" s="1"/>
  <c r="L63" i="24"/>
  <c r="K62" i="24"/>
  <c r="K63" i="24" s="1"/>
  <c r="J63" i="24"/>
  <c r="I62" i="24"/>
  <c r="I63" i="24" s="1"/>
  <c r="H63" i="24"/>
  <c r="G62" i="24"/>
  <c r="G63" i="24" s="1"/>
  <c r="F63" i="24"/>
  <c r="E62" i="24"/>
  <c r="E63" i="24" s="1"/>
  <c r="D63" i="24"/>
  <c r="C62" i="24"/>
  <c r="C63" i="24" s="1"/>
  <c r="N59" i="24"/>
  <c r="M59" i="24"/>
  <c r="L59" i="24"/>
  <c r="K59" i="24"/>
  <c r="J59" i="24"/>
  <c r="I59" i="24"/>
  <c r="H59" i="24"/>
  <c r="G59" i="24"/>
  <c r="F59" i="24"/>
  <c r="E59" i="24"/>
  <c r="D59" i="24"/>
  <c r="C59" i="24"/>
  <c r="D24" i="18"/>
  <c r="B24" i="18"/>
  <c r="A53" i="10"/>
  <c r="Q6" i="16"/>
  <c r="E4" i="16"/>
  <c r="I16" i="15"/>
  <c r="H16" i="15"/>
  <c r="B53" i="10"/>
  <c r="B52" i="10"/>
  <c r="A30" i="10"/>
  <c r="B29" i="10"/>
  <c r="A29" i="10"/>
  <c r="B28" i="10"/>
  <c r="A28" i="10"/>
  <c r="B15" i="10"/>
  <c r="B16" i="10" s="1"/>
  <c r="B21" i="10" s="1"/>
  <c r="B10" i="10"/>
  <c r="B66" i="10" s="1"/>
  <c r="B7" i="10"/>
  <c r="B54" i="10" s="1"/>
  <c r="C153" i="24"/>
  <c r="C157" i="24"/>
  <c r="K30" i="24"/>
  <c r="M133" i="24"/>
  <c r="C30" i="24"/>
  <c r="F70" i="24" l="1"/>
  <c r="D98" i="11"/>
  <c r="H77" i="24"/>
  <c r="J31" i="38"/>
  <c r="H14" i="38"/>
  <c r="J14" i="38" s="1"/>
  <c r="Q17" i="38" s="1"/>
  <c r="P12" i="38"/>
  <c r="L12" i="38"/>
  <c r="H87" i="36"/>
  <c r="F98" i="11"/>
  <c r="E71" i="24"/>
  <c r="L77" i="24"/>
  <c r="D17" i="37"/>
  <c r="D18" i="37"/>
  <c r="D19" i="37"/>
  <c r="G19" i="37" s="1"/>
  <c r="E131" i="24"/>
  <c r="H131" i="24"/>
  <c r="H30" i="24"/>
  <c r="L131" i="24"/>
  <c r="I133" i="24"/>
  <c r="K131" i="24"/>
  <c r="C70" i="24"/>
  <c r="C72" i="24" s="1"/>
  <c r="L133" i="24"/>
  <c r="E133" i="24"/>
  <c r="J133" i="24"/>
  <c r="C149" i="24"/>
  <c r="I137" i="24"/>
  <c r="K71" i="24"/>
  <c r="F122" i="11"/>
  <c r="O254" i="24"/>
  <c r="I134" i="24"/>
  <c r="E70" i="24"/>
  <c r="I70" i="24"/>
  <c r="F136" i="24"/>
  <c r="E113" i="11"/>
  <c r="E114" i="11" s="1"/>
  <c r="E104" i="11"/>
  <c r="D101" i="11"/>
  <c r="N132" i="24"/>
  <c r="M71" i="24"/>
  <c r="L158" i="24"/>
  <c r="J158" i="24"/>
  <c r="G135" i="24"/>
  <c r="F139" i="24"/>
  <c r="M70" i="24"/>
  <c r="G70" i="24"/>
  <c r="G72" i="24" s="1"/>
  <c r="F71" i="24"/>
  <c r="I68" i="24"/>
  <c r="M132" i="24"/>
  <c r="F34" i="36"/>
  <c r="D122" i="11"/>
  <c r="E122" i="11"/>
  <c r="L132" i="24"/>
  <c r="H158" i="24"/>
  <c r="J77" i="24"/>
  <c r="G77" i="24"/>
  <c r="D138" i="11"/>
  <c r="D141" i="11"/>
  <c r="B22" i="10"/>
  <c r="B23" i="10"/>
  <c r="K80" i="36"/>
  <c r="E87" i="36" s="1"/>
  <c r="F87" i="36" s="1"/>
  <c r="J72" i="24"/>
  <c r="G158" i="24"/>
  <c r="M158" i="24"/>
  <c r="F135" i="24"/>
  <c r="I131" i="24"/>
  <c r="K135" i="24"/>
  <c r="D77" i="24"/>
  <c r="B9" i="10"/>
  <c r="C7" i="10" s="1"/>
  <c r="J131" i="24"/>
  <c r="F131" i="24"/>
  <c r="J134" i="24"/>
  <c r="L134" i="24"/>
  <c r="C151" i="24"/>
  <c r="D104" i="11"/>
  <c r="C122" i="11"/>
  <c r="F158" i="24"/>
  <c r="I158" i="24"/>
  <c r="I135" i="24"/>
  <c r="J135" i="24"/>
  <c r="M131" i="24"/>
  <c r="E139" i="24"/>
  <c r="F72" i="24"/>
  <c r="H135" i="24"/>
  <c r="B30" i="10"/>
  <c r="N158" i="24"/>
  <c r="I30" i="24"/>
  <c r="F114" i="11"/>
  <c r="C137" i="11"/>
  <c r="C141" i="11" s="1"/>
  <c r="F77" i="24"/>
  <c r="C56" i="24"/>
  <c r="D56" i="24" s="1"/>
  <c r="D67" i="24" s="1"/>
  <c r="D69" i="24" s="1"/>
  <c r="C155" i="24"/>
  <c r="N68" i="24"/>
  <c r="G30" i="24"/>
  <c r="E98" i="11"/>
  <c r="D35" i="36"/>
  <c r="D88" i="36"/>
  <c r="D114" i="11"/>
  <c r="E141" i="11"/>
  <c r="E138" i="11"/>
  <c r="F101" i="11"/>
  <c r="E97" i="11"/>
  <c r="F138" i="11"/>
  <c r="F97" i="11"/>
  <c r="D97" i="11"/>
  <c r="K158" i="24"/>
  <c r="F140" i="24"/>
  <c r="E140" i="24"/>
  <c r="C156" i="24"/>
  <c r="G136" i="24"/>
  <c r="E136" i="24"/>
  <c r="F132" i="24"/>
  <c r="E132" i="24"/>
  <c r="K132" i="24"/>
  <c r="J132" i="24"/>
  <c r="H132" i="24"/>
  <c r="H70" i="24"/>
  <c r="K68" i="24"/>
  <c r="K72" i="24" s="1"/>
  <c r="C77" i="24"/>
  <c r="I136" i="24"/>
  <c r="E68" i="24"/>
  <c r="E72" i="24" s="1"/>
  <c r="G137" i="24"/>
  <c r="F137" i="24"/>
  <c r="H137" i="24"/>
  <c r="F133" i="24"/>
  <c r="K133" i="24"/>
  <c r="G133" i="24"/>
  <c r="N70" i="24"/>
  <c r="N71" i="24"/>
  <c r="E158" i="24"/>
  <c r="E138" i="24"/>
  <c r="C154" i="24"/>
  <c r="G138" i="24"/>
  <c r="G134" i="24"/>
  <c r="E134" i="24"/>
  <c r="K134" i="24"/>
  <c r="D71" i="24"/>
  <c r="D70" i="24"/>
  <c r="L71" i="24"/>
  <c r="L70" i="24"/>
  <c r="L30" i="24"/>
  <c r="I132" i="24"/>
  <c r="G132" i="24"/>
  <c r="H138" i="24"/>
  <c r="H136" i="24"/>
  <c r="H134" i="24"/>
  <c r="C150" i="24"/>
  <c r="C152" i="24"/>
  <c r="M68" i="24"/>
  <c r="M77" i="24"/>
  <c r="G131" i="24"/>
  <c r="N131" i="24"/>
  <c r="O131" i="24"/>
  <c r="O142" i="24" s="1"/>
  <c r="J30" i="24"/>
  <c r="J71" i="24"/>
  <c r="G20" i="37" l="1"/>
  <c r="N142" i="24"/>
  <c r="K13" i="38"/>
  <c r="M12" i="38"/>
  <c r="G13" i="38" s="1"/>
  <c r="L13" i="38" s="1"/>
  <c r="M72" i="24"/>
  <c r="I72" i="24"/>
  <c r="D20" i="37"/>
  <c r="L142" i="24"/>
  <c r="M142" i="24"/>
  <c r="F55" i="10"/>
  <c r="C21" i="10"/>
  <c r="H21" i="10" s="1"/>
  <c r="C67" i="24"/>
  <c r="C74" i="24" s="1"/>
  <c r="D73" i="24"/>
  <c r="K142" i="24"/>
  <c r="J142" i="24"/>
  <c r="E56" i="24"/>
  <c r="F56" i="24" s="1"/>
  <c r="H142" i="24"/>
  <c r="C8" i="10"/>
  <c r="C15" i="10" s="1"/>
  <c r="C16" i="10" s="1"/>
  <c r="B45" i="10"/>
  <c r="E45" i="10" s="1"/>
  <c r="H27" i="10"/>
  <c r="G21" i="10" s="1"/>
  <c r="G23" i="10" s="1"/>
  <c r="B11" i="10"/>
  <c r="C5" i="10"/>
  <c r="C6" i="10"/>
  <c r="E142" i="24"/>
  <c r="F142" i="24"/>
  <c r="C138" i="11"/>
  <c r="F35" i="36"/>
  <c r="D36" i="36"/>
  <c r="D89" i="36"/>
  <c r="E88" i="36"/>
  <c r="F88" i="36" s="1"/>
  <c r="H88" i="36"/>
  <c r="L72" i="24"/>
  <c r="H72" i="24"/>
  <c r="G142" i="24"/>
  <c r="D72" i="24"/>
  <c r="D74" i="24"/>
  <c r="N72" i="24"/>
  <c r="I142" i="24"/>
  <c r="M13" i="38" l="1"/>
  <c r="F14" i="38" s="1"/>
  <c r="K14" i="38"/>
  <c r="L14" i="38" s="1"/>
  <c r="M14" i="38" s="1"/>
  <c r="P16" i="38"/>
  <c r="C17" i="38"/>
  <c r="C23" i="10"/>
  <c r="D23" i="10" s="1"/>
  <c r="B32" i="10" s="1"/>
  <c r="C22" i="10"/>
  <c r="D22" i="10" s="1"/>
  <c r="B31" i="10" s="1"/>
  <c r="E67" i="24"/>
  <c r="E69" i="24" s="1"/>
  <c r="E73" i="24" s="1"/>
  <c r="D21" i="10"/>
  <c r="F21" i="10" s="1"/>
  <c r="F56" i="10"/>
  <c r="C9" i="10"/>
  <c r="B46" i="10"/>
  <c r="D45" i="10"/>
  <c r="B47" i="10"/>
  <c r="G22" i="10"/>
  <c r="I21" i="10"/>
  <c r="E47" i="10"/>
  <c r="B67" i="10"/>
  <c r="E46" i="10"/>
  <c r="H23" i="10"/>
  <c r="I23" i="10" s="1"/>
  <c r="H29" i="10"/>
  <c r="H22" i="10"/>
  <c r="F22" i="10"/>
  <c r="F23" i="10"/>
  <c r="H89" i="36"/>
  <c r="D90" i="36"/>
  <c r="E89" i="36"/>
  <c r="F89" i="36" s="1"/>
  <c r="D37" i="36"/>
  <c r="F36" i="36"/>
  <c r="F67" i="24"/>
  <c r="G56" i="24"/>
  <c r="P17" i="38" l="1"/>
  <c r="C16" i="38"/>
  <c r="C18" i="38" s="1"/>
  <c r="E74" i="24"/>
  <c r="I22" i="10"/>
  <c r="D47" i="10"/>
  <c r="B56" i="10"/>
  <c r="B55" i="10"/>
  <c r="D46" i="10"/>
  <c r="B33" i="10"/>
  <c r="C31" i="10" s="1"/>
  <c r="B69" i="10"/>
  <c r="B71" i="10"/>
  <c r="H90" i="36"/>
  <c r="E90" i="36"/>
  <c r="F90" i="36" s="1"/>
  <c r="D91" i="36"/>
  <c r="F37" i="36"/>
  <c r="D38" i="36"/>
  <c r="G67" i="24"/>
  <c r="H56" i="24"/>
  <c r="F69" i="24"/>
  <c r="F73" i="24" s="1"/>
  <c r="F74" i="24"/>
  <c r="C32" i="10" l="1"/>
  <c r="B57" i="10"/>
  <c r="C29" i="10"/>
  <c r="C30" i="10"/>
  <c r="C28" i="10"/>
  <c r="H91" i="36"/>
  <c r="D92" i="36"/>
  <c r="E91" i="36"/>
  <c r="F91" i="36" s="1"/>
  <c r="F38" i="36"/>
  <c r="D39" i="36"/>
  <c r="H67" i="24"/>
  <c r="I56" i="24"/>
  <c r="G74" i="24"/>
  <c r="G69" i="24"/>
  <c r="G73" i="24" s="1"/>
  <c r="C53" i="10" l="1"/>
  <c r="C55" i="10"/>
  <c r="C52" i="10"/>
  <c r="C54" i="10"/>
  <c r="C56" i="10"/>
  <c r="C33" i="10"/>
  <c r="D93" i="36"/>
  <c r="E92" i="36"/>
  <c r="F92" i="36" s="1"/>
  <c r="H92" i="36"/>
  <c r="F39" i="36"/>
  <c r="D40" i="36"/>
  <c r="I67" i="24"/>
  <c r="J56" i="24"/>
  <c r="H69" i="24"/>
  <c r="H73" i="24" s="1"/>
  <c r="H74" i="24"/>
  <c r="C57" i="10" l="1"/>
  <c r="D41" i="36"/>
  <c r="F40" i="36"/>
  <c r="H93" i="36"/>
  <c r="D94" i="36"/>
  <c r="E93" i="36"/>
  <c r="F93" i="36" s="1"/>
  <c r="K56" i="24"/>
  <c r="J67" i="24"/>
  <c r="I69" i="24"/>
  <c r="I73" i="24" s="1"/>
  <c r="I74" i="24"/>
  <c r="H94" i="36" l="1"/>
  <c r="E94" i="36"/>
  <c r="F94" i="36" s="1"/>
  <c r="D95" i="36"/>
  <c r="F41" i="36"/>
  <c r="D42" i="36"/>
  <c r="J69" i="24"/>
  <c r="J73" i="24" s="1"/>
  <c r="J74" i="24"/>
  <c r="L56" i="24"/>
  <c r="K67" i="24"/>
  <c r="H95" i="36" l="1"/>
  <c r="D96" i="36"/>
  <c r="E95" i="36"/>
  <c r="F95" i="36" s="1"/>
  <c r="F42" i="36"/>
  <c r="D43" i="36"/>
  <c r="K69" i="24"/>
  <c r="K73" i="24" s="1"/>
  <c r="K74" i="24"/>
  <c r="L67" i="24"/>
  <c r="M56" i="24"/>
  <c r="E96" i="36" l="1"/>
  <c r="F96" i="36" s="1"/>
  <c r="F97" i="36" s="1"/>
  <c r="H97" i="36" s="1"/>
  <c r="H96" i="36"/>
  <c r="F43" i="36"/>
  <c r="D44" i="36"/>
  <c r="F44" i="36" s="1"/>
  <c r="N56" i="24"/>
  <c r="N67" i="24" s="1"/>
  <c r="M67" i="24"/>
  <c r="L69" i="24"/>
  <c r="L73" i="24" s="1"/>
  <c r="L74" i="24"/>
  <c r="H98" i="36" l="1"/>
  <c r="D106" i="36" s="1"/>
  <c r="D109" i="36" s="1"/>
  <c r="F45" i="36"/>
  <c r="M69" i="24"/>
  <c r="M73" i="24" s="1"/>
  <c r="M74" i="24"/>
  <c r="N69" i="24"/>
  <c r="N73" i="24" s="1"/>
  <c r="N74" i="24"/>
</calcChain>
</file>

<file path=xl/comments1.xml><?xml version="1.0" encoding="utf-8"?>
<comments xmlns="http://schemas.openxmlformats.org/spreadsheetml/2006/main">
  <authors>
    <author>Min</author>
  </authors>
  <commentList>
    <comment ref="N2" authorId="0" shapeId="0">
      <text>
        <r>
          <rPr>
            <b/>
            <sz val="9"/>
            <color indexed="81"/>
            <rFont val="宋体"/>
            <family val="3"/>
            <charset val="134"/>
          </rPr>
          <t>区分名义收入和实际税前收入</t>
        </r>
      </text>
    </comment>
    <comment ref="I3" authorId="0" shapeId="0">
      <text>
        <r>
          <rPr>
            <b/>
            <sz val="9"/>
            <color indexed="81"/>
            <rFont val="宋体"/>
            <family val="3"/>
            <charset val="134"/>
          </rPr>
          <t>同一岗高管变动频繁需谨慎，需追查前任是谁？为什么离职？到哪去去了？如条件允许，尽可能追查并进行访谈。</t>
        </r>
      </text>
    </comment>
  </commentList>
</comments>
</file>

<file path=xl/comments2.xml><?xml version="1.0" encoding="utf-8"?>
<comments xmlns="http://schemas.openxmlformats.org/spreadsheetml/2006/main">
  <authors>
    <author>Min</author>
  </authors>
  <commentList>
    <comment ref="B25" authorId="0" shapeId="0">
      <text>
        <r>
          <rPr>
            <b/>
            <sz val="9"/>
            <color indexed="81"/>
            <rFont val="宋体"/>
            <family val="3"/>
            <charset val="134"/>
          </rPr>
          <t xml:space="preserve">GMW（Gross Merchandise Volume ）是成交总额（一定时间段内）的意思。GMV = 1销售额+2取消订单金额+3拒收订单金额+4退货订单金额。GMV是流水，只要你下了订单，生成订单号，就算GMV。而这个订单转化为平台的实际收入还会有2、3、4这些流失量。所以GMV不等于实际销量收入，各大电商平台公布的GMV数据都是有一些水分的。公式中列举的GMV是最具水分的一种算法。
</t>
        </r>
      </text>
    </comment>
    <comment ref="B27" authorId="0" shapeId="0">
      <text>
        <r>
          <rPr>
            <b/>
            <sz val="9"/>
            <color indexed="81"/>
            <rFont val="宋体"/>
            <family val="3"/>
            <charset val="134"/>
          </rPr>
          <t xml:space="preserve">货币化是指网站通过广告、订阅费、应用内收费等方式变现。货币化率是转化的比例，是电商平台重要的运营指数。
货币化率 =（营业收入/GMV）×100%
</t>
        </r>
      </text>
    </comment>
    <comment ref="B28" authorId="0" shapeId="0">
      <text>
        <r>
          <rPr>
            <b/>
            <sz val="9"/>
            <color indexed="81"/>
            <rFont val="宋体"/>
            <family val="3"/>
            <charset val="134"/>
          </rPr>
          <t xml:space="preserve">定义为保存库存控制的最小可用单位。例如一款女装中粉红色的S码是一个SKU，M码是一个SKU，L码也是一个SKU。所以一般一款女装是有S、M、L、XL、XXL、XXXL6个SKU。
Tips:对各SKU的GMW分析，可以判断交易商品的品类、数量、占比。
</t>
        </r>
      </text>
    </comment>
    <comment ref="B29" authorId="0" shapeId="0">
      <text>
        <r>
          <rPr>
            <b/>
            <sz val="9"/>
            <color indexed="81"/>
            <rFont val="宋体"/>
            <family val="3"/>
            <charset val="134"/>
          </rPr>
          <t xml:space="preserve">是网站最终能否盈利的核心。
点击付费用户转化率=（转化次数/点击量）×100%
</t>
        </r>
      </text>
    </comment>
    <comment ref="B30" authorId="0" shapeId="0">
      <text>
        <r>
          <rPr>
            <b/>
            <sz val="9"/>
            <color indexed="81"/>
            <rFont val="宋体"/>
            <family val="3"/>
            <charset val="134"/>
          </rPr>
          <t xml:space="preserve">代表了用户的付费能力和用户价值，一般会根据用户ARPU分层来划分不同价值的用户。ARPU统计期间多为月。
ARPU = GMW/活跃用户 
</t>
        </r>
      </text>
    </comment>
    <comment ref="B60" authorId="0" shapeId="0">
      <text>
        <r>
          <rPr>
            <b/>
            <sz val="9"/>
            <color indexed="81"/>
            <rFont val="宋体"/>
            <family val="3"/>
            <charset val="134"/>
          </rPr>
          <t>1）如何定义日活跃用户？要具体情况分析，比如网易云阅读（阅读类的），用户只要看了某本书的目录，就算是。对于电商，下单过就算。
2）这个数字除了看出活跃用户数在上升，没有任何分析的意义。需要结合其他数据，特别是留存质量。
3）活跃用户数，看的是产品的市场体量。</t>
        </r>
      </text>
    </comment>
    <comment ref="B62" authorId="0" shapeId="0">
      <text>
        <r>
          <rPr>
            <b/>
            <sz val="9"/>
            <color indexed="81"/>
            <rFont val="宋体"/>
            <family val="3"/>
            <charset val="134"/>
          </rPr>
          <t>不是特别重要，因为关键还是用户端。</t>
        </r>
      </text>
    </comment>
    <comment ref="B64" authorId="0" shapeId="0">
      <text>
        <r>
          <rPr>
            <b/>
            <sz val="9"/>
            <color indexed="81"/>
            <rFont val="宋体"/>
            <family val="3"/>
            <charset val="134"/>
          </rPr>
          <t>付费用户数要看如何定义，有时也和DAU同义。</t>
        </r>
      </text>
    </comment>
    <comment ref="B72" authorId="0" shapeId="0">
      <text>
        <r>
          <rPr>
            <b/>
            <sz val="9"/>
            <color indexed="81"/>
            <rFont val="宋体"/>
            <family val="3"/>
            <charset val="134"/>
          </rPr>
          <t>新活跃用户率=（新活跃用户数/新用户数）× 100%
新用户是渠道决定的</t>
        </r>
      </text>
    </comment>
    <comment ref="B73" authorId="0" shapeId="0">
      <text>
        <r>
          <rPr>
            <b/>
            <sz val="9"/>
            <color indexed="81"/>
            <rFont val="宋体"/>
            <family val="3"/>
            <charset val="134"/>
          </rPr>
          <t>老活跃用户率=（老活跃用户数/老用户数）× 100%
老用户是产品和运营决定的</t>
        </r>
      </text>
    </comment>
    <comment ref="B74" authorId="0" shapeId="0">
      <text>
        <r>
          <rPr>
            <b/>
            <sz val="9"/>
            <color indexed="81"/>
            <rFont val="宋体"/>
            <family val="3"/>
            <charset val="134"/>
          </rPr>
          <t>总活跃用户率=（新老活跃用户数/注册用户总数）× 100%</t>
        </r>
      </text>
    </comment>
    <comment ref="B77" authorId="0" shapeId="0">
      <text>
        <r>
          <rPr>
            <b/>
            <sz val="9"/>
            <color indexed="81"/>
            <rFont val="宋体"/>
            <family val="3"/>
            <charset val="134"/>
          </rPr>
          <t>注册用户转化率=（注册用户/下载用户）×100%</t>
        </r>
      </text>
    </comment>
    <comment ref="B78" authorId="0" shapeId="0">
      <text>
        <r>
          <rPr>
            <b/>
            <sz val="9"/>
            <color indexed="81"/>
            <rFont val="宋体"/>
            <family val="3"/>
            <charset val="134"/>
          </rPr>
          <t xml:space="preserve"> 付费用户转化率=（付费用户/活跃用户）×100%</t>
        </r>
      </text>
    </comment>
    <comment ref="B81" authorId="0" shapeId="0">
      <text>
        <r>
          <rPr>
            <b/>
            <sz val="9"/>
            <color indexed="81"/>
            <rFont val="宋体"/>
            <family val="3"/>
            <charset val="134"/>
          </rPr>
          <t>访问深度，是指用户一次连续访问的店铺页面数（即每次会话浏览的页面数），所以平均访问深度即用户平均每次连续访问浏览的店铺页面数。用户平均访问深度=浏览量（pv）/访问人次。</t>
        </r>
      </text>
    </comment>
    <comment ref="B83" authorId="0" shapeId="0">
      <text>
        <r>
          <rPr>
            <b/>
            <sz val="9"/>
            <color indexed="81"/>
            <rFont val="宋体"/>
            <family val="3"/>
            <charset val="134"/>
          </rPr>
          <t>跳出率是指仅阅读了一个页面就离开的用户占一组页面或一个页面拜访次数的百分比。</t>
        </r>
      </text>
    </comment>
  </commentList>
</comments>
</file>

<file path=xl/comments3.xml><?xml version="1.0" encoding="utf-8"?>
<comments xmlns="http://schemas.openxmlformats.org/spreadsheetml/2006/main">
  <authors>
    <author>作者</author>
    <author>Min</author>
  </authors>
  <commentList>
    <comment ref="B90" authorId="0" shapeId="0">
      <text>
        <r>
          <rPr>
            <b/>
            <sz val="9"/>
            <color indexed="81"/>
            <rFont val="宋体"/>
            <family val="3"/>
            <charset val="134"/>
          </rPr>
          <t>销售毛利率：销售毛利率,表示每一元销售收入扣除销售产品或商品成本后,有多少钱可以用于各期间费用和形成利润,是企业销售净利率的最初基础,没有足够大的毛利率便不能盈利。计算公式：销售毛利率=(销售收入-销售成本)÷销售收入)×100%。</t>
        </r>
      </text>
    </comment>
    <comment ref="B91" authorId="0" shapeId="0">
      <text>
        <r>
          <rPr>
            <b/>
            <sz val="9"/>
            <color indexed="81"/>
            <rFont val="宋体"/>
            <family val="3"/>
            <charset val="134"/>
          </rPr>
          <t>销售毛利率：销售毛利率,表示每一元销售收入扣除销售产品或商品成本后,有多少钱可以用于各期间费用和形成利润,是企业销售净利率的最初基础,没有足够大的毛利率便不能盈利。计算公式：销售毛利率=(销售收入-销售成本)÷销售收入)×100%。</t>
        </r>
      </text>
    </comment>
    <comment ref="B95" authorId="1" shapeId="0">
      <text>
        <r>
          <rPr>
            <b/>
            <sz val="9"/>
            <color indexed="81"/>
            <rFont val="宋体"/>
            <family val="3"/>
            <charset val="134"/>
          </rPr>
          <t>如果三项费用率（销售+管理+财务）控制在毛利率的30%以内，就算优秀企业，30-70%区间，仍然具备一定竞争力；如超过70%，通常关注价值不大。</t>
        </r>
      </text>
    </comment>
    <comment ref="B100" authorId="0" shapeId="0">
      <text>
        <r>
          <rPr>
            <b/>
            <sz val="9"/>
            <color indexed="81"/>
            <rFont val="宋体"/>
            <family val="3"/>
            <charset val="134"/>
          </rPr>
          <t xml:space="preserve">存货周转天数=360/存货周转次数
其中
存货周转次数 = 销售成本 / 存货平均金额
存货平均金额 =（期初金额+期末金额）/ 2
</t>
        </r>
      </text>
    </comment>
    <comment ref="B101" authorId="0" shapeId="0">
      <text>
        <r>
          <rPr>
            <b/>
            <sz val="9"/>
            <color indexed="81"/>
            <rFont val="宋体"/>
            <family val="3"/>
            <charset val="134"/>
          </rPr>
          <t xml:space="preserve">应收账款周转天数(应收账款周转率)：应收账款周转率反映应收账款的周转速度，也就是年度内应收账款转为现金的平均次数。用时间表示的周转速度是应收账款周转天数，也叫平均收现期，表示自企业从取得应收账款的权利到收回款项，转换为现金所需要的时间。一般来说，应收账款周转率越高、平均收帐期越短，说明应收账款收回快。否则，企业的营运资金会过多地呆滞在应收账款上，影响正常的资金周转。
计算公式：
应收账款周转天数 = 360 / 应收账款周转率
其中
应收账款周转率 = 赊销净额 / 应收账款平均余额 
赊销净额 = 销售收入 - 现销收入 - 销售退回、折让、折扣
应收账款平均余额 = （期初应收账款余额+期末应收账款余额）/2
</t>
        </r>
      </text>
    </comment>
    <comment ref="B102" authorId="1" shapeId="0">
      <text>
        <r>
          <rPr>
            <b/>
            <sz val="9"/>
            <color indexed="81"/>
            <rFont val="宋体"/>
            <family val="3"/>
            <charset val="134"/>
          </rPr>
          <t xml:space="preserve">应付账款周转天数又称平均付现期，是衡量公司需要多长时间付清供应商的欠款，属于公司经营能力分析范畴。
应付账款周转天数 = 360 / 应付账款周转率
其中
应付账款周转率 = 主营业务成本净额 / 平均应付账款余额 
平均应付账款余额 =（应付账款期初余额 + 应付账款期末余额）/ 2
</t>
        </r>
      </text>
    </comment>
    <comment ref="B103" authorId="1" shapeId="0">
      <text>
        <r>
          <rPr>
            <b/>
            <sz val="9"/>
            <color indexed="81"/>
            <rFont val="宋体"/>
            <family val="3"/>
            <charset val="134"/>
          </rPr>
          <t xml:space="preserve">固定资产周转率，也称固定资产利用率，是企业销售收入与固定资产净值的比率。固定资产周转率表示在一个会计年度内，固定资产周转的次数，或表示每1元固定资产支持的销售收入。
固定资产周转天数表示在一个会计年度内，固定资产转换成现金平均需要的时间，即平均天数。固定资产的周转次数越多，则周转天数越短；周转次数越少，则周转天数越长。
固定资产周转天数= 360 / 固定资产周转率
其中
固定资产周转率 = 销售收入 / 平均固定资产净值
固定资产平均净值 =（期初净值+期末净值）/ 2 
</t>
        </r>
      </text>
    </comment>
    <comment ref="B104" authorId="0" shapeId="0">
      <text>
        <r>
          <rPr>
            <b/>
            <sz val="9"/>
            <color indexed="81"/>
            <rFont val="宋体"/>
            <family val="3"/>
            <charset val="134"/>
          </rPr>
          <t>资产周转率：表示多少资产创造多少销售收入，表明一个公司是资产(资本)密集型还是轻资产型。该项指标反映资产总额的周转速度，周转越快，反映销售能力越强，企业可以通过薄利多销的办法，加速资产的周转，带来利润绝对数的增加。计算公式：总资产周转率=销售收入÷平均总资产。</t>
        </r>
        <r>
          <rPr>
            <sz val="9"/>
            <color indexed="81"/>
            <rFont val="宋体"/>
            <family val="3"/>
            <charset val="134"/>
          </rPr>
          <t xml:space="preserve">
</t>
        </r>
      </text>
    </comment>
    <comment ref="B106" authorId="1" shapeId="0">
      <text>
        <r>
          <rPr>
            <b/>
            <sz val="9"/>
            <color indexed="81"/>
            <rFont val="宋体"/>
            <family val="3"/>
            <charset val="134"/>
          </rPr>
          <t>供应商是否非常强势？
核心原材料或零部件是否有可替代品？
是否会被掐住咽喉？</t>
        </r>
      </text>
    </comment>
    <comment ref="B117" authorId="0" shapeId="0">
      <text>
        <r>
          <rPr>
            <b/>
            <sz val="9"/>
            <color indexed="81"/>
            <rFont val="宋体"/>
            <family val="3"/>
            <charset val="134"/>
          </rPr>
          <t>净资产收益率：净资产收益率是净利润与平均股东权益(所有者权益)的百分比，也叫股东权益报酬率。该指标反映股东权益的收益水平。计算公式：净资产收益率=(净利润÷平均股东权益)×100%。
或
净资产收益率
=净利润*/（本年期初净资产+本年期末净资产）/2
= 净资产收益率=销售净利率*资产周转率*杠杆比率
= （净利润 / 销售收入）*（销售收入/ 总资产）*（总资产/净资产）</t>
        </r>
      </text>
    </comment>
    <comment ref="B124" authorId="1" shapeId="0">
      <text>
        <r>
          <rPr>
            <b/>
            <sz val="9"/>
            <color indexed="81"/>
            <rFont val="宋体"/>
            <family val="3"/>
            <charset val="134"/>
          </rPr>
          <t>经营现金流转化率 = 经营现金流 / 净利润额</t>
        </r>
      </text>
    </comment>
    <comment ref="B125" authorId="1" shapeId="0">
      <text>
        <r>
          <rPr>
            <b/>
            <sz val="9"/>
            <color indexed="81"/>
            <rFont val="宋体"/>
            <family val="3"/>
            <charset val="134"/>
          </rPr>
          <t>自由现金流转化率 = 自由现金流 / 净利润额</t>
        </r>
      </text>
    </comment>
    <comment ref="B140" authorId="0" shapeId="0">
      <text>
        <r>
          <rPr>
            <b/>
            <sz val="9"/>
            <color indexed="81"/>
            <rFont val="宋体"/>
            <family val="3"/>
            <charset val="134"/>
          </rPr>
          <t>资产负债率：资产负债率是负债总额除以资产总额的百分比，也就是负债总额与资产总额的比例关系。资产负债率反映在总资产中有多大比例是通过借债来筹资的，也可以衡量企业在清算时保护债权人利益的程度;资产负债率的高低，体现一个企业的资本结构是否合理。计算公式：资产负债率=(负债总额÷资产总额)×100%。</t>
        </r>
      </text>
    </comment>
    <comment ref="B141" authorId="1" shapeId="0">
      <text>
        <r>
          <rPr>
            <b/>
            <sz val="9"/>
            <color indexed="81"/>
            <rFont val="宋体"/>
            <family val="3"/>
            <charset val="134"/>
          </rPr>
          <t>有息负债/总资产(改良指标)
该指标比资产负债率更有意义，说明了企业需支付利息的负债率。</t>
        </r>
      </text>
    </comment>
    <comment ref="B142" authorId="0" shapeId="0">
      <text>
        <r>
          <rPr>
            <b/>
            <sz val="9"/>
            <color indexed="81"/>
            <rFont val="宋体"/>
            <family val="3"/>
            <charset val="134"/>
          </rPr>
          <t>流动比率：流动比率是流动资产除以流动负债的比例，反映企业的短期偿债能力。流动资产是最容易变现的资产，流动资产越多，流动负债越少，则短期偿债能力越强。计算公式：流动比率=流动资产÷流动负债。
检验标准：流动比率大于2倍</t>
        </r>
      </text>
    </comment>
    <comment ref="B143" authorId="1" shapeId="0">
      <text>
        <r>
          <rPr>
            <b/>
            <sz val="9"/>
            <color indexed="81"/>
            <rFont val="宋体"/>
            <family val="3"/>
            <charset val="134"/>
          </rPr>
          <t xml:space="preserve">速动比率 = （流动资产-存货）/流动负债
检验标准1：速动比率比率大于1
更严格的标准：同时满足流动比率大于2倍，且速动比率比率大于1
</t>
        </r>
      </text>
    </comment>
    <comment ref="B144" authorId="1" shapeId="0">
      <text>
        <r>
          <rPr>
            <b/>
            <sz val="9"/>
            <color indexed="81"/>
            <rFont val="宋体"/>
            <family val="3"/>
            <charset val="134"/>
          </rPr>
          <t>利息保障倍数=
EBIT/利息费用</t>
        </r>
      </text>
    </comment>
    <comment ref="B146" authorId="1" shapeId="0">
      <text>
        <r>
          <rPr>
            <b/>
            <sz val="9"/>
            <color indexed="81"/>
            <rFont val="宋体"/>
            <family val="3"/>
            <charset val="134"/>
          </rPr>
          <t>资本总市值 = 股票市值 + 总负债 + 优先股市值（如有）</t>
        </r>
      </text>
    </comment>
    <comment ref="B147" authorId="1" shapeId="0">
      <text>
        <r>
          <rPr>
            <b/>
            <sz val="9"/>
            <color indexed="81"/>
            <rFont val="宋体"/>
            <family val="3"/>
            <charset val="134"/>
          </rPr>
          <t xml:space="preserve">Benjamin Graham提出企业三种资本结构，公式=股票市值/资本总市值
比值越低，动用借款发展就越多，对利润起到助涨助跌的效果。理想情况是第二种结构。
这个比值看看便可，多一个参考，实际意义不太大。
保守型资本结构，比值约80-100%
最优资本结构，比值50-80%
投机型资本结构，比值10-50%
</t>
        </r>
      </text>
    </comment>
    <comment ref="B158" authorId="0" shapeId="0">
      <text>
        <r>
          <rPr>
            <b/>
            <sz val="9"/>
            <color indexed="81"/>
            <rFont val="宋体"/>
            <family val="3"/>
            <charset val="134"/>
          </rPr>
          <t>送股：将本年利润留在公司，发放股票作为红利，从而将利润转化为股本。(将本年的利润留在公司里)
转增：将资本公积转化为股本，转增股本并没有改变股东的权股益，但却增加了股本规模.(严格地说并不是对股东的分红回报)</t>
        </r>
      </text>
    </comment>
  </commentList>
</comments>
</file>

<file path=xl/comments4.xml><?xml version="1.0" encoding="utf-8"?>
<comments xmlns="http://schemas.openxmlformats.org/spreadsheetml/2006/main">
  <authors>
    <author>作者</author>
  </authors>
  <commentList>
    <comment ref="B2" authorId="0" shapeId="0">
      <text>
        <r>
          <rPr>
            <b/>
            <sz val="9"/>
            <color indexed="81"/>
            <rFont val="宋体"/>
            <family val="3"/>
            <charset val="134"/>
          </rPr>
          <t>作者:</t>
        </r>
        <r>
          <rPr>
            <sz val="9"/>
            <color indexed="81"/>
            <rFont val="宋体"/>
            <family val="3"/>
            <charset val="134"/>
          </rPr>
          <t xml:space="preserve">
验收单感觉有问题，按照付款进度，只到膜验收
</t>
        </r>
      </text>
    </comment>
  </commentList>
</comments>
</file>

<file path=xl/comments5.xml><?xml version="1.0" encoding="utf-8"?>
<comments xmlns="http://schemas.openxmlformats.org/spreadsheetml/2006/main">
  <authors>
    <author>Min</author>
  </authors>
  <commentList>
    <comment ref="D44" authorId="0" shapeId="0">
      <text>
        <r>
          <rPr>
            <b/>
            <sz val="9"/>
            <color indexed="81"/>
            <rFont val="宋体"/>
            <family val="3"/>
            <charset val="134"/>
          </rPr>
          <t>恒定增长模型= 现值/（折现率-增长率）</t>
        </r>
        <r>
          <rPr>
            <sz val="9"/>
            <color indexed="81"/>
            <rFont val="宋体"/>
            <family val="3"/>
            <charset val="134"/>
          </rPr>
          <t xml:space="preserve">
</t>
        </r>
      </text>
    </comment>
    <comment ref="C75" authorId="0" shapeId="0">
      <text>
        <r>
          <rPr>
            <b/>
            <sz val="9"/>
            <color indexed="81"/>
            <rFont val="宋体"/>
            <family val="3"/>
            <charset val="134"/>
          </rPr>
          <t xml:space="preserve">EBIT = 营业收入 - 营业成本 - 销售费用 - 管理费用 - 研发费用  - 折旧和摊销 </t>
        </r>
        <r>
          <rPr>
            <sz val="9"/>
            <color indexed="81"/>
            <rFont val="宋体"/>
            <family val="3"/>
            <charset val="134"/>
          </rPr>
          <t xml:space="preserve">
</t>
        </r>
      </text>
    </comment>
    <comment ref="E75" authorId="0" shapeId="0">
      <text>
        <r>
          <rPr>
            <b/>
            <sz val="9"/>
            <color indexed="81"/>
            <rFont val="宋体"/>
            <family val="3"/>
            <charset val="134"/>
          </rPr>
          <t>从现金流流量表中找到科目：“购建固定资产、无形资产和其他长期资产支付的现金”</t>
        </r>
      </text>
    </comment>
    <comment ref="F75" authorId="0" shapeId="0">
      <text>
        <r>
          <rPr>
            <b/>
            <sz val="9"/>
            <color indexed="81"/>
            <rFont val="宋体"/>
            <family val="3"/>
            <charset val="134"/>
          </rPr>
          <t>应收账款变动 + 预付账款变动 + 库存变动</t>
        </r>
        <r>
          <rPr>
            <sz val="9"/>
            <color indexed="81"/>
            <rFont val="宋体"/>
            <family val="3"/>
            <charset val="134"/>
          </rPr>
          <t xml:space="preserve">
</t>
        </r>
      </text>
    </comment>
    <comment ref="G75" authorId="0" shapeId="0">
      <text>
        <r>
          <rPr>
            <b/>
            <sz val="9"/>
            <color indexed="81"/>
            <rFont val="宋体"/>
            <family val="3"/>
            <charset val="134"/>
          </rPr>
          <t>应付账款变动 + 预收账款变动</t>
        </r>
      </text>
    </comment>
    <comment ref="F97" authorId="0" shapeId="0">
      <text>
        <r>
          <rPr>
            <b/>
            <sz val="9"/>
            <color indexed="81"/>
            <rFont val="宋体"/>
            <family val="3"/>
            <charset val="134"/>
          </rPr>
          <t>恒定增长模型= 现值/（折现率-增长率）</t>
        </r>
        <r>
          <rPr>
            <sz val="9"/>
            <color indexed="81"/>
            <rFont val="宋体"/>
            <family val="3"/>
            <charset val="134"/>
          </rPr>
          <t xml:space="preserve">
</t>
        </r>
      </text>
    </comment>
  </commentList>
</comments>
</file>

<file path=xl/comments6.xml><?xml version="1.0" encoding="utf-8"?>
<comments xmlns="http://schemas.openxmlformats.org/spreadsheetml/2006/main">
  <authors>
    <author>Min</author>
  </authors>
  <commentList>
    <comment ref="C10" authorId="0" shapeId="0">
      <text>
        <r>
          <rPr>
            <b/>
            <sz val="9"/>
            <color indexed="81"/>
            <rFont val="宋体"/>
            <family val="3"/>
            <charset val="134"/>
          </rPr>
          <t>公式  
X/(投前股数+X)=股比
X = 投前股数* 股比/（1-股比）</t>
        </r>
      </text>
    </comment>
    <comment ref="G10" authorId="0" shapeId="0">
      <text>
        <r>
          <rPr>
            <b/>
            <sz val="9"/>
            <color indexed="81"/>
            <rFont val="宋体"/>
            <family val="3"/>
            <charset val="134"/>
          </rPr>
          <t>公式  
X/(投前估值+X)=股比
X = 投前估值* 股比/（1-股比）</t>
        </r>
      </text>
    </comment>
    <comment ref="C19" authorId="0" shapeId="0">
      <text>
        <r>
          <rPr>
            <b/>
            <sz val="9"/>
            <color indexed="81"/>
            <rFont val="宋体"/>
            <family val="3"/>
            <charset val="134"/>
          </rPr>
          <t>公式  
(老股股数+X)/(原始股股数+老股股数+X)=最终股比
X = (最终股比*原始股股数+最终股比*老股股数-老股股数)/（1-最终股比）</t>
        </r>
      </text>
    </comment>
    <comment ref="G19" authorId="0" shapeId="0">
      <text>
        <r>
          <rPr>
            <b/>
            <sz val="9"/>
            <color indexed="81"/>
            <rFont val="宋体"/>
            <family val="3"/>
            <charset val="134"/>
          </rPr>
          <t>公式  
X/(投前估值+X)=股比
X = 投前估值* 股比/（1-股比）</t>
        </r>
      </text>
    </comment>
  </commentList>
</comments>
</file>

<file path=xl/comments7.xml><?xml version="1.0" encoding="utf-8"?>
<comments xmlns="http://schemas.openxmlformats.org/spreadsheetml/2006/main">
  <authors>
    <author>Min</author>
  </authors>
  <commentList>
    <comment ref="D12" authorId="0" shapeId="0">
      <text>
        <r>
          <rPr>
            <b/>
            <sz val="9"/>
            <color indexed="81"/>
            <rFont val="宋体"/>
            <family val="3"/>
            <charset val="134"/>
          </rPr>
          <t>赔率是你付出一定成本，如果事情成了，能获得多少回报。
https://www.investopedia.com/articles/trading/04/091504.asp</t>
        </r>
      </text>
    </comment>
    <comment ref="F12" authorId="0" shapeId="0">
      <text>
        <r>
          <rPr>
            <b/>
            <sz val="9"/>
            <color indexed="81"/>
            <rFont val="宋体"/>
            <family val="3"/>
            <charset val="134"/>
          </rPr>
          <t>公式 = (P*R-1)/(R-1)</t>
        </r>
      </text>
    </comment>
  </commentList>
</comments>
</file>

<file path=xl/sharedStrings.xml><?xml version="1.0" encoding="utf-8"?>
<sst xmlns="http://schemas.openxmlformats.org/spreadsheetml/2006/main" count="1489" uniqueCount="1025">
  <si>
    <t>增资后估值</t>
    <phoneticPr fontId="7" type="noConversion"/>
  </si>
  <si>
    <t>16年投后PE</t>
    <phoneticPr fontId="7" type="noConversion"/>
  </si>
  <si>
    <t>17年业绩承诺</t>
    <phoneticPr fontId="7" type="noConversion"/>
  </si>
  <si>
    <t>增资前估值</t>
    <phoneticPr fontId="7" type="noConversion"/>
  </si>
  <si>
    <t>万元</t>
    <phoneticPr fontId="7" type="noConversion"/>
  </si>
  <si>
    <t>16年业绩承诺</t>
    <phoneticPr fontId="7" type="noConversion"/>
  </si>
  <si>
    <t>倍数</t>
    <phoneticPr fontId="7" type="noConversion"/>
  </si>
  <si>
    <t>17年投后PE</t>
    <phoneticPr fontId="7" type="noConversion"/>
  </si>
  <si>
    <t>合计</t>
    <phoneticPr fontId="13" type="noConversion"/>
  </si>
  <si>
    <t xml:space="preserve"> 业绩预测</t>
    <phoneticPr fontId="13" type="noConversion"/>
  </si>
  <si>
    <t>估值预测</t>
    <phoneticPr fontId="13" type="noConversion"/>
  </si>
  <si>
    <t>投后估值</t>
    <phoneticPr fontId="13" type="noConversion"/>
  </si>
  <si>
    <t>持股单位（万）</t>
  </si>
  <si>
    <t>持股单位调整（万）</t>
  </si>
  <si>
    <t>协商本轮投前估值</t>
    <phoneticPr fontId="13" type="noConversion"/>
  </si>
  <si>
    <t>备注：假设协商当前估值1.2亿元</t>
    <phoneticPr fontId="13" type="noConversion"/>
  </si>
  <si>
    <t>增资资单价</t>
    <phoneticPr fontId="13" type="noConversion"/>
  </si>
  <si>
    <t>第1步：投前股权结构</t>
    <phoneticPr fontId="13" type="noConversion"/>
  </si>
  <si>
    <t>股东名册</t>
    <phoneticPr fontId="13" type="noConversion"/>
  </si>
  <si>
    <t>持股单位（万）</t>
    <phoneticPr fontId="13" type="noConversion"/>
  </si>
  <si>
    <t>股比</t>
    <phoneticPr fontId="7" type="noConversion"/>
  </si>
  <si>
    <t>备注：持股单位就是注册资本金。</t>
    <phoneticPr fontId="13" type="noConversion"/>
  </si>
  <si>
    <t>备注：3,300万元增资本45.2055%股权，估值7300万元。</t>
    <phoneticPr fontId="13" type="noConversion"/>
  </si>
  <si>
    <t>蓝色高亮是最重要的输入参数，修改后影响输出值。</t>
    <phoneticPr fontId="13" type="noConversion"/>
  </si>
  <si>
    <t>合计</t>
    <phoneticPr fontId="13" type="noConversion"/>
  </si>
  <si>
    <t>投后估值</t>
    <phoneticPr fontId="7" type="noConversion"/>
  </si>
  <si>
    <t>每单位价值</t>
    <phoneticPr fontId="7" type="noConversion"/>
  </si>
  <si>
    <t>第2步：转老股</t>
    <phoneticPr fontId="13" type="noConversion"/>
  </si>
  <si>
    <t>转让老股</t>
    <phoneticPr fontId="13" type="noConversion"/>
  </si>
  <si>
    <t>股比</t>
    <phoneticPr fontId="13" type="noConversion"/>
  </si>
  <si>
    <t>第3步：计算</t>
    <phoneticPr fontId="13" type="noConversion"/>
  </si>
  <si>
    <t>目标股比</t>
    <phoneticPr fontId="7" type="noConversion"/>
  </si>
  <si>
    <t>实际股比</t>
    <phoneticPr fontId="7" type="noConversion"/>
  </si>
  <si>
    <t>所需金额（万）</t>
    <phoneticPr fontId="7" type="noConversion"/>
  </si>
  <si>
    <t>转老股</t>
    <phoneticPr fontId="7" type="noConversion"/>
  </si>
  <si>
    <t>新增股数</t>
    <phoneticPr fontId="7" type="noConversion"/>
  </si>
  <si>
    <t>合计持股</t>
    <phoneticPr fontId="7" type="noConversion"/>
  </si>
  <si>
    <t>转老股金额</t>
    <phoneticPr fontId="7" type="noConversion"/>
  </si>
  <si>
    <t>增资金额</t>
    <phoneticPr fontId="7" type="noConversion"/>
  </si>
  <si>
    <t>总出资</t>
    <phoneticPr fontId="7" type="noConversion"/>
  </si>
  <si>
    <t>第4步：投后股权比例</t>
    <phoneticPr fontId="13" type="noConversion"/>
  </si>
  <si>
    <t>协商本轮投前估值</t>
    <phoneticPr fontId="13" type="noConversion"/>
  </si>
  <si>
    <t>备注：协商投前估值1.2亿元</t>
    <phoneticPr fontId="13" type="noConversion"/>
  </si>
  <si>
    <t>转老股单价</t>
    <phoneticPr fontId="13" type="noConversion"/>
  </si>
  <si>
    <t>增资单价</t>
    <phoneticPr fontId="13" type="noConversion"/>
  </si>
  <si>
    <t>投后估值</t>
    <phoneticPr fontId="13" type="noConversion"/>
  </si>
  <si>
    <t>第1步：计算</t>
    <phoneticPr fontId="13" type="noConversion"/>
  </si>
  <si>
    <t>新增单位（万）</t>
    <phoneticPr fontId="7" type="noConversion"/>
  </si>
  <si>
    <t>增资金额（万）</t>
    <phoneticPr fontId="7" type="noConversion"/>
  </si>
  <si>
    <t>销售净利率 = 净利润 / 销售收入</t>
    <phoneticPr fontId="13" type="noConversion"/>
  </si>
  <si>
    <t>杠杆比率= 总资产/净资产</t>
    <phoneticPr fontId="13" type="noConversion"/>
  </si>
  <si>
    <t>净资产收益率=净利润/（本年期初净资产+本年期末净资产）/2</t>
    <phoneticPr fontId="13" type="noConversion"/>
  </si>
  <si>
    <t>一、业务模式</t>
  </si>
  <si>
    <t>二、盈利模式</t>
  </si>
  <si>
    <t>三、营销模式</t>
  </si>
  <si>
    <t>业务模式</t>
  </si>
  <si>
    <t>供应商结构</t>
  </si>
  <si>
    <t>毛利率</t>
  </si>
  <si>
    <t>回款方式和周期</t>
  </si>
  <si>
    <t>主要客户</t>
  </si>
  <si>
    <t>市场份额</t>
  </si>
  <si>
    <t>外来发展方向</t>
  </si>
  <si>
    <t>销售确认方式</t>
    <phoneticPr fontId="7" type="noConversion"/>
  </si>
  <si>
    <t>主要竞争对手</t>
    <phoneticPr fontId="7" type="noConversion"/>
  </si>
  <si>
    <t>AA</t>
    <phoneticPr fontId="19" type="noConversion"/>
  </si>
  <si>
    <t>AA</t>
    <phoneticPr fontId="19" type="noConversion"/>
  </si>
  <si>
    <t>AA</t>
    <phoneticPr fontId="19" type="noConversion"/>
  </si>
  <si>
    <t>1 第一梯队核心管理层</t>
    <phoneticPr fontId="19" type="noConversion"/>
  </si>
  <si>
    <t>2 第二梯队核心技术专家(*每个人掌握技术单一部分或很难替代)</t>
    <phoneticPr fontId="7" type="noConversion"/>
  </si>
  <si>
    <t>3 第三梯队重要经办人</t>
    <phoneticPr fontId="7" type="noConversion"/>
  </si>
  <si>
    <t>创始人</t>
    <phoneticPr fontId="19" type="noConversion"/>
  </si>
  <si>
    <t>资本市场线</t>
    <phoneticPr fontId="19" type="noConversion"/>
  </si>
  <si>
    <t>研发线</t>
    <phoneticPr fontId="19" type="noConversion"/>
  </si>
  <si>
    <t>工艺线</t>
    <phoneticPr fontId="19" type="noConversion"/>
  </si>
  <si>
    <t>生产线路</t>
    <phoneticPr fontId="19" type="noConversion"/>
  </si>
  <si>
    <t>工程线</t>
    <phoneticPr fontId="19" type="noConversion"/>
  </si>
  <si>
    <t>医疗市场线</t>
    <phoneticPr fontId="19" type="noConversion"/>
  </si>
  <si>
    <t>工业市场线</t>
    <phoneticPr fontId="19" type="noConversion"/>
  </si>
  <si>
    <t>董事会秘书</t>
    <phoneticPr fontId="19" type="noConversion"/>
  </si>
  <si>
    <t>工艺研发部</t>
    <phoneticPr fontId="19" type="noConversion"/>
  </si>
  <si>
    <t>制造中心</t>
    <phoneticPr fontId="19" type="noConversion"/>
  </si>
  <si>
    <t>工程部</t>
    <phoneticPr fontId="19" type="noConversion"/>
  </si>
  <si>
    <t>市场部</t>
    <phoneticPr fontId="19" type="noConversion"/>
  </si>
  <si>
    <t xml:space="preserve"> </t>
    <phoneticPr fontId="19" type="noConversion"/>
  </si>
  <si>
    <t>财务部</t>
    <phoneticPr fontId="19" type="noConversion"/>
  </si>
  <si>
    <t>材料研发部</t>
    <phoneticPr fontId="19" type="noConversion"/>
  </si>
  <si>
    <t>设计部</t>
  </si>
  <si>
    <t>市场部</t>
  </si>
  <si>
    <t>归属如上团队管</t>
    <phoneticPr fontId="19" type="noConversion"/>
  </si>
  <si>
    <t>客户服务部</t>
  </si>
  <si>
    <t>序号</t>
    <phoneticPr fontId="13" type="noConversion"/>
  </si>
  <si>
    <t xml:space="preserve">姓名 </t>
    <phoneticPr fontId="13" type="noConversion"/>
  </si>
  <si>
    <t>重要人员</t>
    <phoneticPr fontId="13" type="noConversion"/>
  </si>
  <si>
    <t>职责</t>
    <phoneticPr fontId="13" type="noConversion"/>
  </si>
  <si>
    <t>年龄</t>
    <phoneticPr fontId="13" type="noConversion"/>
  </si>
  <si>
    <t>年龄分析意见</t>
    <phoneticPr fontId="7" type="noConversion"/>
  </si>
  <si>
    <t>在职时间</t>
    <phoneticPr fontId="13" type="noConversion"/>
  </si>
  <si>
    <t>工龄分析意见</t>
    <phoneticPr fontId="7" type="noConversion"/>
  </si>
  <si>
    <t>薪酬分析意见</t>
    <phoneticPr fontId="7" type="noConversion"/>
  </si>
  <si>
    <t>备注</t>
    <phoneticPr fontId="13" type="noConversion"/>
  </si>
  <si>
    <t>1 第一梯队核心管理层</t>
    <phoneticPr fontId="7" type="noConversion"/>
  </si>
  <si>
    <t>1 第一梯队核心管理层</t>
    <phoneticPr fontId="7" type="noConversion"/>
  </si>
  <si>
    <t>2 第二梯队核心技术专家</t>
    <phoneticPr fontId="7" type="noConversion"/>
  </si>
  <si>
    <t>3 第三梯队重要经办人</t>
    <phoneticPr fontId="7" type="noConversion"/>
  </si>
  <si>
    <t>部门</t>
    <phoneticPr fontId="7" type="noConversion"/>
  </si>
  <si>
    <t>新入职人数</t>
    <phoneticPr fontId="7" type="noConversion"/>
  </si>
  <si>
    <t>离职人数</t>
    <phoneticPr fontId="7" type="noConversion"/>
  </si>
  <si>
    <t>工厂部门</t>
    <phoneticPr fontId="7" type="noConversion"/>
  </si>
  <si>
    <t>制造一部</t>
    <phoneticPr fontId="7" type="noConversion"/>
  </si>
  <si>
    <t>非核心部门</t>
    <phoneticPr fontId="7" type="noConversion"/>
  </si>
  <si>
    <t>综合管理部</t>
    <phoneticPr fontId="7" type="noConversion"/>
  </si>
  <si>
    <t>客户服务部</t>
    <phoneticPr fontId="7" type="noConversion"/>
  </si>
  <si>
    <t>核心部门</t>
    <phoneticPr fontId="7" type="noConversion"/>
  </si>
  <si>
    <t>财务部</t>
    <phoneticPr fontId="7" type="noConversion"/>
  </si>
  <si>
    <t>研发中心</t>
    <phoneticPr fontId="7" type="noConversion"/>
  </si>
  <si>
    <t>统计</t>
    <phoneticPr fontId="7" type="noConversion"/>
  </si>
  <si>
    <t>本部核心部门</t>
    <phoneticPr fontId="7" type="noConversion"/>
  </si>
  <si>
    <t>合计</t>
    <phoneticPr fontId="7" type="noConversion"/>
  </si>
  <si>
    <t>合同金额</t>
    <phoneticPr fontId="13" type="noConversion"/>
  </si>
  <si>
    <t>销售收入</t>
    <phoneticPr fontId="13" type="noConversion"/>
  </si>
  <si>
    <t>销售成本</t>
    <phoneticPr fontId="13" type="noConversion"/>
  </si>
  <si>
    <t>业绩权重</t>
    <phoneticPr fontId="7" type="noConversion"/>
  </si>
  <si>
    <t>3系列家族</t>
    <phoneticPr fontId="7" type="noConversion"/>
  </si>
  <si>
    <t>2系列家族</t>
    <phoneticPr fontId="7" type="noConversion"/>
  </si>
  <si>
    <t>1系列家族</t>
    <phoneticPr fontId="13" type="noConversion"/>
  </si>
  <si>
    <t>管理层评价问卷清单</t>
    <phoneticPr fontId="7" type="noConversion"/>
  </si>
  <si>
    <t>总工资</t>
    <phoneticPr fontId="7" type="noConversion"/>
  </si>
  <si>
    <t>人均年薪</t>
    <phoneticPr fontId="7" type="noConversion"/>
  </si>
  <si>
    <t>人数</t>
    <phoneticPr fontId="7" type="noConversion"/>
  </si>
  <si>
    <t>人数变动</t>
    <phoneticPr fontId="7" type="noConversion"/>
  </si>
  <si>
    <t>账龄</t>
    <phoneticPr fontId="13" type="noConversion"/>
  </si>
  <si>
    <t>占总应收款比例(%)</t>
    <phoneticPr fontId="13" type="noConversion"/>
  </si>
  <si>
    <t>实际发生坏账金额</t>
    <phoneticPr fontId="13" type="noConversion"/>
  </si>
  <si>
    <t>1年以内</t>
    <phoneticPr fontId="13" type="noConversion"/>
  </si>
  <si>
    <t>单项金额不重大</t>
    <phoneticPr fontId="13" type="noConversion"/>
  </si>
  <si>
    <t>1-2年</t>
    <phoneticPr fontId="13" type="noConversion"/>
  </si>
  <si>
    <t>2-3年</t>
    <phoneticPr fontId="13" type="noConversion"/>
  </si>
  <si>
    <t>3-4年</t>
    <phoneticPr fontId="13" type="noConversion"/>
  </si>
  <si>
    <t>4-5年</t>
    <phoneticPr fontId="13" type="noConversion"/>
  </si>
  <si>
    <t>5年以上</t>
    <phoneticPr fontId="13" type="noConversion"/>
  </si>
  <si>
    <t>提取的坏账准备</t>
    <phoneticPr fontId="13" type="noConversion"/>
  </si>
  <si>
    <t>应收账款金额</t>
    <phoneticPr fontId="13" type="noConversion"/>
  </si>
  <si>
    <t>序号</t>
    <phoneticPr fontId="13" type="noConversion"/>
  </si>
  <si>
    <t>XX公司</t>
    <phoneticPr fontId="13" type="noConversion"/>
  </si>
  <si>
    <t>功能验收</t>
    <phoneticPr fontId="13" type="noConversion"/>
  </si>
  <si>
    <t>AA业务</t>
    <phoneticPr fontId="19" type="noConversion"/>
  </si>
  <si>
    <t>BB业务</t>
    <phoneticPr fontId="19" type="noConversion"/>
  </si>
  <si>
    <t>CC业务</t>
    <phoneticPr fontId="19" type="noConversion"/>
  </si>
  <si>
    <t>DD业务</t>
    <phoneticPr fontId="19" type="noConversion"/>
  </si>
  <si>
    <t>1. 业务结构</t>
    <phoneticPr fontId="7" type="noConversion"/>
  </si>
  <si>
    <t>2. 业务趋势</t>
    <phoneticPr fontId="7" type="noConversion"/>
  </si>
  <si>
    <t>AA
（董秘）</t>
    <phoneticPr fontId="19" type="noConversion"/>
  </si>
  <si>
    <t>AA
（财务经理）</t>
    <phoneticPr fontId="19" type="noConversion"/>
  </si>
  <si>
    <t>AA
（总工）</t>
    <phoneticPr fontId="19" type="noConversion"/>
  </si>
  <si>
    <t>AA
（材料）</t>
    <phoneticPr fontId="19" type="noConversion"/>
  </si>
  <si>
    <t>AA
（组件）</t>
    <phoneticPr fontId="19" type="noConversion"/>
  </si>
  <si>
    <t>AA
（工艺设计经理）</t>
    <phoneticPr fontId="19" type="noConversion"/>
  </si>
  <si>
    <t>AA
（生产总监）</t>
    <phoneticPr fontId="19" type="noConversion"/>
  </si>
  <si>
    <t>AA
（工程经理）</t>
    <phoneticPr fontId="19" type="noConversion"/>
  </si>
  <si>
    <t>AA
（工程实施）</t>
    <phoneticPr fontId="19" type="noConversion"/>
  </si>
  <si>
    <t>AA
（副董事长）</t>
    <phoneticPr fontId="19" type="noConversion"/>
  </si>
  <si>
    <t>AA
（技术制造）</t>
    <phoneticPr fontId="19" type="noConversion"/>
  </si>
  <si>
    <t>AA
（产品销后）</t>
    <phoneticPr fontId="19" type="noConversion"/>
  </si>
  <si>
    <t>AA
（董事长）</t>
    <phoneticPr fontId="19" type="noConversion"/>
  </si>
  <si>
    <t xml:space="preserve"> 营销部</t>
    <phoneticPr fontId="7" type="noConversion"/>
  </si>
  <si>
    <t>AA市场线</t>
    <phoneticPr fontId="19" type="noConversion"/>
  </si>
  <si>
    <t>AA
（设备）</t>
    <phoneticPr fontId="19" type="noConversion"/>
  </si>
  <si>
    <t>AA
（QA）</t>
    <phoneticPr fontId="19" type="noConversion"/>
  </si>
  <si>
    <t>AA
（副总工）</t>
    <phoneticPr fontId="19" type="noConversion"/>
  </si>
  <si>
    <t>AA</t>
    <phoneticPr fontId="7" type="noConversion"/>
  </si>
  <si>
    <t>总工资变化</t>
    <phoneticPr fontId="7" type="noConversion"/>
  </si>
  <si>
    <t>人均年薪变化</t>
    <phoneticPr fontId="7" type="noConversion"/>
  </si>
  <si>
    <t>2015年</t>
    <phoneticPr fontId="7" type="noConversion"/>
  </si>
  <si>
    <t>非核心部门</t>
    <phoneticPr fontId="7" type="noConversion"/>
  </si>
  <si>
    <t xml:space="preserve">工厂 </t>
    <phoneticPr fontId="7" type="noConversion"/>
  </si>
  <si>
    <t>AAA</t>
  </si>
  <si>
    <t xml:space="preserve">备注：如AAA需要6000万元资金，则增资单价必须增加 </t>
  </si>
  <si>
    <t>BBB</t>
    <phoneticPr fontId="13" type="noConversion"/>
  </si>
  <si>
    <t>方案一：AA集团+BB资本：假设1）转老股和增资；2）CCC保留月10%股份；3）CCC需6000万元融资</t>
  </si>
  <si>
    <t>CCC创业投资中心（有限合伙）</t>
  </si>
  <si>
    <t>CCC转让</t>
  </si>
  <si>
    <t>备注：CCC认可投前估值1.2亿元，除与总体持股单位526万，计算出转老股单价</t>
  </si>
  <si>
    <t>备注：CCC认可投前估值1.2亿元，除与原持股单位526万+新增单位351万，计算出增资单价</t>
  </si>
  <si>
    <t>AA集团</t>
  </si>
  <si>
    <t>BB资本</t>
  </si>
  <si>
    <t>AA集团</t>
    <phoneticPr fontId="13" type="noConversion"/>
  </si>
  <si>
    <t>BB资本</t>
    <phoneticPr fontId="13" type="noConversion"/>
  </si>
  <si>
    <t>BB资本</t>
    <phoneticPr fontId="13" type="noConversion"/>
  </si>
  <si>
    <t xml:space="preserve">方案二：AA集团+BB资本：假设1）纯增资；2）AAA需6000万元融资   </t>
  </si>
  <si>
    <t>备注：重要岗位需追溯到前任及离职的原因</t>
    <phoneticPr fontId="7" type="noConversion"/>
  </si>
  <si>
    <t>核心技术+销售人员</t>
    <phoneticPr fontId="7" type="noConversion"/>
  </si>
  <si>
    <t>现状（技术门槛+竞争程度）</t>
    <phoneticPr fontId="7" type="noConversion"/>
  </si>
  <si>
    <t>3. 产品家谱图</t>
    <phoneticPr fontId="7" type="noConversion"/>
  </si>
  <si>
    <t>业务和财务问题</t>
    <phoneticPr fontId="7" type="noConversion"/>
  </si>
  <si>
    <t>收入</t>
    <phoneticPr fontId="13" type="noConversion"/>
  </si>
  <si>
    <t>公司应收账款账龄</t>
    <phoneticPr fontId="13" type="noConversion"/>
  </si>
  <si>
    <t>公司两年以上主要长账龄情况</t>
    <phoneticPr fontId="13" type="noConversion"/>
  </si>
  <si>
    <t>客户名称</t>
    <phoneticPr fontId="13" type="noConversion"/>
  </si>
  <si>
    <t>余额</t>
    <phoneticPr fontId="13" type="noConversion"/>
  </si>
  <si>
    <t>原因</t>
    <phoneticPr fontId="13" type="noConversion"/>
  </si>
  <si>
    <t>银行名称</t>
    <phoneticPr fontId="13" type="noConversion"/>
  </si>
  <si>
    <t>本期余额</t>
    <phoneticPr fontId="13" type="noConversion"/>
  </si>
  <si>
    <t>借款期间</t>
    <phoneticPr fontId="13" type="noConversion"/>
  </si>
  <si>
    <t>利率（年%）</t>
    <phoneticPr fontId="13" type="noConversion"/>
  </si>
  <si>
    <t>借款类型</t>
    <phoneticPr fontId="13" type="noConversion"/>
  </si>
  <si>
    <t>抵压物/担保方</t>
    <phoneticPr fontId="13" type="noConversion"/>
  </si>
  <si>
    <t>最高债权额（万元）</t>
    <phoneticPr fontId="7" type="noConversion"/>
  </si>
  <si>
    <t>期末借款情况及可筹资额度分析</t>
    <phoneticPr fontId="13" type="noConversion"/>
  </si>
  <si>
    <t xml:space="preserve">具体房屋抵押情况表 </t>
    <phoneticPr fontId="7" type="noConversion"/>
  </si>
  <si>
    <t>房屋坐落</t>
    <phoneticPr fontId="13" type="noConversion"/>
  </si>
  <si>
    <t>房地证号</t>
    <phoneticPr fontId="13" type="noConversion"/>
  </si>
  <si>
    <t>建筑面积（m2）</t>
    <phoneticPr fontId="13" type="noConversion"/>
  </si>
  <si>
    <t>原值</t>
    <phoneticPr fontId="13" type="noConversion"/>
  </si>
  <si>
    <t>净值</t>
    <phoneticPr fontId="13" type="noConversion"/>
  </si>
  <si>
    <t>抵押情况</t>
    <phoneticPr fontId="13" type="noConversion"/>
  </si>
  <si>
    <t>核心财务数据</t>
    <phoneticPr fontId="19" type="noConversion"/>
  </si>
  <si>
    <t>2014年</t>
    <phoneticPr fontId="13" type="noConversion"/>
  </si>
  <si>
    <t>非流动资产</t>
    <phoneticPr fontId="19" type="noConversion"/>
  </si>
  <si>
    <t>流动负债</t>
    <phoneticPr fontId="19" type="noConversion"/>
  </si>
  <si>
    <t>非流动负债</t>
    <phoneticPr fontId="19" type="noConversion"/>
  </si>
  <si>
    <t>经营现金流</t>
    <phoneticPr fontId="19" type="noConversion"/>
  </si>
  <si>
    <t>1. 营业收入</t>
    <phoneticPr fontId="19" type="noConversion"/>
  </si>
  <si>
    <t>2. 净利润</t>
    <phoneticPr fontId="19" type="noConversion"/>
  </si>
  <si>
    <t>3. 毛利率</t>
    <phoneticPr fontId="19" type="noConversion"/>
  </si>
  <si>
    <t>4. 净利率</t>
    <phoneticPr fontId="19" type="noConversion"/>
  </si>
  <si>
    <t>行业</t>
    <phoneticPr fontId="13" type="noConversion"/>
  </si>
  <si>
    <t>行业</t>
    <phoneticPr fontId="13" type="noConversion"/>
  </si>
  <si>
    <t>成本</t>
    <phoneticPr fontId="13" type="noConversion"/>
  </si>
  <si>
    <t>成本</t>
    <phoneticPr fontId="13" type="noConversion"/>
  </si>
  <si>
    <t>毛利率</t>
    <phoneticPr fontId="13" type="noConversion"/>
  </si>
  <si>
    <t>毛利率</t>
    <phoneticPr fontId="13" type="noConversion"/>
  </si>
  <si>
    <t>毛利是否正常</t>
    <phoneticPr fontId="13" type="noConversion"/>
  </si>
  <si>
    <t>毛利是否正常</t>
    <phoneticPr fontId="13" type="noConversion"/>
  </si>
  <si>
    <t>收入</t>
    <phoneticPr fontId="13" type="noConversion"/>
  </si>
  <si>
    <t>业绩贡献比例</t>
    <phoneticPr fontId="13" type="noConversion"/>
  </si>
  <si>
    <t>业务领域</t>
    <phoneticPr fontId="13" type="noConversion"/>
  </si>
  <si>
    <t>2015年</t>
    <phoneticPr fontId="13" type="noConversion"/>
  </si>
  <si>
    <t>合计</t>
    <phoneticPr fontId="13" type="noConversion"/>
  </si>
  <si>
    <t>AA业务</t>
  </si>
  <si>
    <t>BB业务</t>
  </si>
  <si>
    <t>CC业务</t>
  </si>
  <si>
    <t>DD业务</t>
  </si>
  <si>
    <t>AA
（ X销售）</t>
    <phoneticPr fontId="19" type="noConversion"/>
  </si>
  <si>
    <t>AA
（X销售）</t>
    <phoneticPr fontId="19" type="noConversion"/>
  </si>
  <si>
    <t>AA
（工业市场）</t>
    <phoneticPr fontId="19" type="noConversion"/>
  </si>
  <si>
    <t>AA
（XX市场负责人）</t>
    <phoneticPr fontId="19" type="noConversion"/>
  </si>
  <si>
    <t>AA
（XX大客户）</t>
    <phoneticPr fontId="19" type="noConversion"/>
  </si>
  <si>
    <t>年龄中值xx岁
最有经验和活力的年龄</t>
    <phoneticPr fontId="7" type="noConversion"/>
  </si>
  <si>
    <t>工龄中值x年</t>
    <phoneticPr fontId="7" type="noConversion"/>
  </si>
  <si>
    <t xml:space="preserve">工龄中值x年
符合AA板块发展的期限
</t>
    <phoneticPr fontId="7" type="noConversion"/>
  </si>
  <si>
    <t>工龄中值x年
忠诚度和归属感很高</t>
    <phoneticPr fontId="7" type="noConversion"/>
  </si>
  <si>
    <t xml:space="preserve">基本年薪合理，中值x万；
股权激励充分；
</t>
    <phoneticPr fontId="7" type="noConversion"/>
  </si>
  <si>
    <t>收  入</t>
  </si>
  <si>
    <t>成  本</t>
  </si>
  <si>
    <t>业务类别</t>
    <phoneticPr fontId="13" type="noConversion"/>
  </si>
  <si>
    <t>AA</t>
    <phoneticPr fontId="13" type="noConversion"/>
  </si>
  <si>
    <t>BB</t>
    <phoneticPr fontId="13" type="noConversion"/>
  </si>
  <si>
    <t>CC</t>
    <phoneticPr fontId="13" type="noConversion"/>
  </si>
  <si>
    <t>合计</t>
    <phoneticPr fontId="13" type="noConversion"/>
  </si>
  <si>
    <t xml:space="preserve">一、利润表 </t>
    <phoneticPr fontId="19" type="noConversion"/>
  </si>
  <si>
    <t>二、资产负债表</t>
    <phoneticPr fontId="19" type="noConversion"/>
  </si>
  <si>
    <t>三、现金流量表</t>
    <phoneticPr fontId="13" type="noConversion"/>
  </si>
  <si>
    <t xml:space="preserve"> </t>
    <phoneticPr fontId="13" type="noConversion"/>
  </si>
  <si>
    <t>AA
（XX销售）</t>
    <phoneticPr fontId="19" type="noConversion"/>
  </si>
  <si>
    <t>制造</t>
    <phoneticPr fontId="19" type="noConversion"/>
  </si>
  <si>
    <t>XX营销</t>
    <phoneticPr fontId="7" type="noConversion"/>
  </si>
  <si>
    <t>YY销售</t>
    <phoneticPr fontId="7" type="noConversion"/>
  </si>
  <si>
    <t>zz实施</t>
    <phoneticPr fontId="7" type="noConversion"/>
  </si>
  <si>
    <t>技术 - AA</t>
    <phoneticPr fontId="7" type="noConversion"/>
  </si>
  <si>
    <t>创始人负责XXX</t>
    <phoneticPr fontId="7" type="noConversion"/>
  </si>
  <si>
    <t>XXXX</t>
    <phoneticPr fontId="7" type="noConversion"/>
  </si>
  <si>
    <t>基本年薪xxx，中值x万；
股权激励____</t>
    <phoneticPr fontId="7" type="noConversion"/>
  </si>
  <si>
    <t>基本年薪xx，中值x万
股权激励xx</t>
    <phoneticPr fontId="7" type="noConversion"/>
  </si>
  <si>
    <t>公司名称</t>
    <phoneticPr fontId="13" type="noConversion"/>
  </si>
  <si>
    <t>合同名称</t>
    <phoneticPr fontId="13" type="noConversion"/>
  </si>
  <si>
    <t>合同金额</t>
    <phoneticPr fontId="13" type="noConversion"/>
  </si>
  <si>
    <t>签订日期</t>
    <phoneticPr fontId="13" type="noConversion"/>
  </si>
  <si>
    <t>验收时点</t>
    <phoneticPr fontId="13" type="noConversion"/>
  </si>
  <si>
    <t>工期</t>
    <phoneticPr fontId="13" type="noConversion"/>
  </si>
  <si>
    <t>付款条款</t>
    <phoneticPr fontId="13" type="noConversion"/>
  </si>
  <si>
    <t>2016年确认收入</t>
    <phoneticPr fontId="13" type="noConversion"/>
  </si>
  <si>
    <t>验收单情况</t>
    <phoneticPr fontId="13" type="noConversion"/>
  </si>
  <si>
    <t>是否有监理</t>
    <phoneticPr fontId="13" type="noConversion"/>
  </si>
  <si>
    <t>提前确认收入</t>
    <phoneticPr fontId="13" type="noConversion"/>
  </si>
  <si>
    <t>回款金额</t>
    <phoneticPr fontId="13" type="noConversion"/>
  </si>
  <si>
    <t>回款方式</t>
    <phoneticPr fontId="13" type="noConversion"/>
  </si>
  <si>
    <t>回款时间</t>
    <phoneticPr fontId="13" type="noConversion"/>
  </si>
  <si>
    <t>凭证号</t>
    <phoneticPr fontId="13" type="noConversion"/>
  </si>
  <si>
    <t>签订合同N天交货，N天安装</t>
    <phoneticPr fontId="13" type="noConversion"/>
  </si>
  <si>
    <t>合计</t>
    <phoneticPr fontId="13" type="noConversion"/>
  </si>
  <si>
    <t>流动资产</t>
    <phoneticPr fontId="19" type="noConversion"/>
  </si>
  <si>
    <t>月份</t>
    <phoneticPr fontId="13" type="noConversion"/>
  </si>
  <si>
    <t>新增用户</t>
    <phoneticPr fontId="13" type="noConversion"/>
  </si>
  <si>
    <t>每月留存用户数</t>
    <phoneticPr fontId="13" type="noConversion"/>
  </si>
  <si>
    <t>0月</t>
    <phoneticPr fontId="13" type="noConversion"/>
  </si>
  <si>
    <t>1月</t>
    <phoneticPr fontId="13" type="noConversion"/>
  </si>
  <si>
    <t>2月</t>
  </si>
  <si>
    <t>3月</t>
  </si>
  <si>
    <t>4月</t>
  </si>
  <si>
    <t>5月</t>
  </si>
  <si>
    <t>6月</t>
  </si>
  <si>
    <t>7月</t>
  </si>
  <si>
    <t>8月</t>
  </si>
  <si>
    <t>9月</t>
  </si>
  <si>
    <t>10月</t>
  </si>
  <si>
    <t>11月</t>
  </si>
  <si>
    <t>12月</t>
  </si>
  <si>
    <t>当月总下单用户数</t>
    <phoneticPr fontId="13" type="noConversion"/>
  </si>
  <si>
    <t>每月留存率</t>
    <phoneticPr fontId="13" type="noConversion"/>
  </si>
  <si>
    <t>每月流失率</t>
    <phoneticPr fontId="13" type="noConversion"/>
  </si>
  <si>
    <t>公司的战略目标是如何分解的？您部门的目标是如何确定的？</t>
    <phoneticPr fontId="7" type="noConversion"/>
  </si>
  <si>
    <t>这种核心竞争力，是否需长时间积累？能否快速掌握和复制？是靠个人，靠团队，还是靠平台多一些？</t>
    <phoneticPr fontId="7" type="noConversion"/>
  </si>
  <si>
    <t>部门协同</t>
    <phoneticPr fontId="7" type="noConversion"/>
  </si>
  <si>
    <t>您所属部门的未来改进、发展方向是什么？需要公司投入何种资源支撑？</t>
    <phoneticPr fontId="7" type="noConversion"/>
  </si>
  <si>
    <t>您对自己的薪酬水平是否满意？对薪酬的意见和建议有哪些？</t>
    <phoneticPr fontId="7" type="noConversion"/>
  </si>
  <si>
    <t>您的上级是否会对您进行绩效谈话？绩效谈话效果如何？</t>
    <phoneticPr fontId="7" type="noConversion"/>
  </si>
  <si>
    <t>公司现在的培训是如何开展的？应在哪些方面丰富完善？</t>
    <phoneticPr fontId="7" type="noConversion"/>
  </si>
  <si>
    <t>您在此岗位多久了？该岗位的前任是谁？为什么调岗或离职？</t>
    <phoneticPr fontId="7" type="noConversion"/>
  </si>
  <si>
    <t>您所在部门如何支撑公司的战略和目标的实现？能顺利达成吗？困难和瓶颈是什么？</t>
    <phoneticPr fontId="7" type="noConversion"/>
  </si>
  <si>
    <t>公司或业务中目前最大的困难和瓶颈是什么？</t>
    <phoneticPr fontId="7" type="noConversion"/>
  </si>
  <si>
    <t>公司发展的驱动因素，或核心竞争力是什么？趋势、研发技术、产品、品牌、市场渠道，社会关系，还是其它因素？</t>
    <phoneticPr fontId="7" type="noConversion"/>
  </si>
  <si>
    <t>您与其他部门在哪些方面需要协调和配合？是如何实现协调和配合的？协作效率如何？</t>
    <phoneticPr fontId="7" type="noConversion"/>
  </si>
  <si>
    <t>您目前整体工作饱和度如何？造成这种现象的原因是什么？</t>
    <phoneticPr fontId="7" type="noConversion"/>
  </si>
  <si>
    <t>公司内部有哪些沟通渠道？沟通是否通畅？部门内部员工的意见和建议怎样表达给您？您的意见如何反馈给公司及上级？</t>
    <phoneticPr fontId="7" type="noConversion"/>
  </si>
  <si>
    <t>协助检查核心员工骨干图，还有核心员工遗漏吗？（离开谁会影响比较大，可替代性弱）</t>
    <phoneticPr fontId="7" type="noConversion"/>
  </si>
  <si>
    <t>这种竞争力，如果是一套企业文化、研发技术、运营能力等，能否以正式的形式（如产品、运营、标准手册）保留下来？是否会因某员工离开而受到较大冲击？</t>
    <phoneticPr fontId="7" type="noConversion"/>
  </si>
  <si>
    <t>与同行业比，公司薪酬水平如何？有没有竞争力？除薪酬外，公司对人才的吸引力有哪些优势和劣势？</t>
    <phoneticPr fontId="7" type="noConversion"/>
  </si>
  <si>
    <t>个人事业有没有向上的空间？向上通道是否通畅？简单介绍您部门员工职业发展通道。这种职业发展通道能否调动员工的积极性？</t>
    <phoneticPr fontId="7" type="noConversion"/>
  </si>
  <si>
    <t>您是否有完成公司和个人目标的积极性？影响积极性的因素有哪些？</t>
    <phoneticPr fontId="7" type="noConversion"/>
  </si>
  <si>
    <t>对部门或个人的KPI考核指标有哪些？KPI目标如何确定的？考核效果如何？</t>
    <phoneticPr fontId="7" type="noConversion"/>
  </si>
  <si>
    <t>您认为公司能生存和发展至今的原因是什么？举例说明。（成功或失败之道）</t>
    <phoneticPr fontId="7" type="noConversion"/>
  </si>
  <si>
    <t>你所感受到的公司现有的优良文化传统和不良作风有哪些？举例说明。</t>
    <phoneticPr fontId="7" type="noConversion"/>
  </si>
  <si>
    <t xml:space="preserve">团队能否融洽相处？团队能否开放的交流？有没有持续优化的意识？ </t>
    <phoneticPr fontId="7" type="noConversion"/>
  </si>
  <si>
    <t xml:space="preserve">您的家庭、爱好和时间分配？判断对工作的投入和影响。  </t>
    <phoneticPr fontId="7" type="noConversion"/>
  </si>
  <si>
    <t>介绍您的经历（职责分工、工作重点、工作饱和度等），如何加入公司的，为什么选择加入？目前留下原因是什么？还能干多久？</t>
    <phoneticPr fontId="7" type="noConversion"/>
  </si>
  <si>
    <t>对创始人、上级、同级、下属的看法？任何优点，或需改善之处？</t>
    <phoneticPr fontId="7" type="noConversion"/>
  </si>
  <si>
    <t>员工1</t>
    <phoneticPr fontId="7" type="noConversion"/>
  </si>
  <si>
    <t>员工2</t>
    <phoneticPr fontId="7" type="noConversion"/>
  </si>
  <si>
    <t>战略定位</t>
    <phoneticPr fontId="7" type="noConversion"/>
  </si>
  <si>
    <t>您如何理解公司的战略与目标，是否清晰？或未来会成为一个什么样的公司？ 举例说明。</t>
    <phoneticPr fontId="7" type="noConversion"/>
  </si>
  <si>
    <t>业务发展</t>
    <phoneticPr fontId="7" type="noConversion"/>
  </si>
  <si>
    <t>竞争环境如何？现在最大的竞争者是谁？潜在的竞争者是谁？公司在哪些方面做出准备？</t>
    <phoneticPr fontId="13" type="noConversion"/>
  </si>
  <si>
    <t>个人职业</t>
    <phoneticPr fontId="7" type="noConversion"/>
  </si>
  <si>
    <t>就获取的业务和财务数据，通过访谈再次进行多维度核对；</t>
    <phoneticPr fontId="7" type="noConversion"/>
  </si>
  <si>
    <t>下载用户数</t>
    <phoneticPr fontId="7" type="noConversion"/>
  </si>
  <si>
    <t>注册用户数</t>
    <phoneticPr fontId="7" type="noConversion"/>
  </si>
  <si>
    <t>活跃用户行为</t>
    <phoneticPr fontId="7" type="noConversion"/>
  </si>
  <si>
    <t> PV（Page Visitor）</t>
    <phoneticPr fontId="7" type="noConversion"/>
  </si>
  <si>
    <t> UV（Unique Visitor）</t>
    <phoneticPr fontId="7" type="noConversion"/>
  </si>
  <si>
    <t> 日活跃商户</t>
    <phoneticPr fontId="7" type="noConversion"/>
  </si>
  <si>
    <t> 月活跃商户</t>
    <phoneticPr fontId="7" type="noConversion"/>
  </si>
  <si>
    <t> DAU（日活跃用户）</t>
    <phoneticPr fontId="7" type="noConversion"/>
  </si>
  <si>
    <t> MAU（月活跃用户）</t>
    <phoneticPr fontId="7" type="noConversion"/>
  </si>
  <si>
    <t>下载用户数（累计）</t>
    <phoneticPr fontId="7" type="noConversion"/>
  </si>
  <si>
    <t>注册用户数（累计）</t>
    <phoneticPr fontId="7" type="noConversion"/>
  </si>
  <si>
    <t>付费用户数（累计）</t>
    <phoneticPr fontId="7" type="noConversion"/>
  </si>
  <si>
    <t>注册用户总数</t>
    <phoneticPr fontId="7" type="noConversion"/>
  </si>
  <si>
    <t>**</t>
    <phoneticPr fontId="7" type="noConversion"/>
  </si>
  <si>
    <t>基本指标</t>
    <phoneticPr fontId="7" type="noConversion"/>
  </si>
  <si>
    <t>活跃用户比率分析</t>
    <phoneticPr fontId="7" type="noConversion"/>
  </si>
  <si>
    <t>一、交易行为指标</t>
    <phoneticPr fontId="7" type="noConversion"/>
  </si>
  <si>
    <t xml:space="preserve">GMW </t>
    <phoneticPr fontId="7" type="noConversion"/>
  </si>
  <si>
    <t>SKU</t>
    <phoneticPr fontId="7" type="noConversion"/>
  </si>
  <si>
    <t>货币化率</t>
    <phoneticPr fontId="7" type="noConversion"/>
  </si>
  <si>
    <t>ARPU（Ave Revenue Per User）</t>
    <phoneticPr fontId="7" type="noConversion"/>
  </si>
  <si>
    <t>二、用户行为指标</t>
    <phoneticPr fontId="7" type="noConversion"/>
  </si>
  <si>
    <t>点击付费用户转换率</t>
    <phoneticPr fontId="7" type="noConversion"/>
  </si>
  <si>
    <t>其他用户行为比率分析</t>
    <phoneticPr fontId="7" type="noConversion"/>
  </si>
  <si>
    <t>三、用户留存分析</t>
    <phoneticPr fontId="7" type="noConversion"/>
  </si>
  <si>
    <t>注册用户转化率</t>
    <phoneticPr fontId="7" type="noConversion"/>
  </si>
  <si>
    <t>付费用户转化率</t>
    <phoneticPr fontId="7" type="noConversion"/>
  </si>
  <si>
    <t>收入</t>
    <phoneticPr fontId="7" type="noConversion"/>
  </si>
  <si>
    <t>第2步</t>
    <phoneticPr fontId="7" type="noConversion"/>
  </si>
  <si>
    <t>第1步</t>
    <phoneticPr fontId="7" type="noConversion"/>
  </si>
  <si>
    <t>第3步</t>
    <phoneticPr fontId="7" type="noConversion"/>
  </si>
  <si>
    <t xml:space="preserve">  新用户数</t>
    <phoneticPr fontId="7" type="noConversion"/>
  </si>
  <si>
    <t xml:space="preserve">  老用户数</t>
    <phoneticPr fontId="7" type="noConversion"/>
  </si>
  <si>
    <t xml:space="preserve">    新活跃用户数</t>
    <phoneticPr fontId="7" type="noConversion"/>
  </si>
  <si>
    <t xml:space="preserve">    老活跃用户数</t>
    <phoneticPr fontId="7" type="noConversion"/>
  </si>
  <si>
    <t xml:space="preserve">      新活跃用户率</t>
    <phoneticPr fontId="7" type="noConversion"/>
  </si>
  <si>
    <t xml:space="preserve">      老活跃用户率</t>
    <phoneticPr fontId="7" type="noConversion"/>
  </si>
  <si>
    <t xml:space="preserve">      总活跃用户率</t>
    <phoneticPr fontId="7" type="noConversion"/>
  </si>
  <si>
    <t xml:space="preserve"> 活跃用户数</t>
    <phoneticPr fontId="7" type="noConversion"/>
  </si>
  <si>
    <t xml:space="preserve"> 回流用户数</t>
    <phoneticPr fontId="7" type="noConversion"/>
  </si>
  <si>
    <t xml:space="preserve"> 不活跃用户数</t>
    <phoneticPr fontId="7" type="noConversion"/>
  </si>
  <si>
    <t xml:space="preserve"> 流失用户数</t>
    <phoneticPr fontId="7" type="noConversion"/>
  </si>
  <si>
    <t xml:space="preserve"> 新增用户数</t>
    <phoneticPr fontId="7" type="noConversion"/>
  </si>
  <si>
    <t>用户类型</t>
    <phoneticPr fontId="7" type="noConversion"/>
  </si>
  <si>
    <t>LTV （Life Time Value）用户的终身价值 = （某个客户每个月的购买频次*每次的客单价*毛利率）/（月流失率）</t>
    <phoneticPr fontId="7" type="noConversion"/>
  </si>
  <si>
    <t>购买频次</t>
    <phoneticPr fontId="7" type="noConversion"/>
  </si>
  <si>
    <t>客单价</t>
    <phoneticPr fontId="7" type="noConversion"/>
  </si>
  <si>
    <t>毛利率</t>
    <phoneticPr fontId="7" type="noConversion"/>
  </si>
  <si>
    <t>月流失率</t>
    <phoneticPr fontId="7" type="noConversion"/>
  </si>
  <si>
    <t>LTV</t>
    <phoneticPr fontId="7" type="noConversion"/>
  </si>
  <si>
    <t>备注：LTV实际很难推算，因为所有变量都是动态的。所以，这仅仅是理想的计算方法。</t>
    <phoneticPr fontId="7" type="noConversion"/>
  </si>
  <si>
    <t>CAC （Customer Acquisition Cost）用户获取成本 = 总市场花费（包括销售、市场人员的工资等）/ 带来的新用户数</t>
    <phoneticPr fontId="7" type="noConversion"/>
  </si>
  <si>
    <t>总市场花费</t>
    <phoneticPr fontId="7" type="noConversion"/>
  </si>
  <si>
    <t>带来的新用户数</t>
    <phoneticPr fontId="7" type="noConversion"/>
  </si>
  <si>
    <t>CAC</t>
    <phoneticPr fontId="7" type="noConversion"/>
  </si>
  <si>
    <t>四、互联网盈利公式 LTV&gt;CAC</t>
    <phoneticPr fontId="7" type="noConversion"/>
  </si>
  <si>
    <t>活跃</t>
    <phoneticPr fontId="7" type="noConversion"/>
  </si>
  <si>
    <t>不活跃</t>
    <phoneticPr fontId="7" type="noConversion"/>
  </si>
  <si>
    <t>五种用户类型分析</t>
    <phoneticPr fontId="7" type="noConversion"/>
  </si>
  <si>
    <t>社交网络</t>
    <phoneticPr fontId="7" type="noConversion"/>
  </si>
  <si>
    <t>SEO优化</t>
    <phoneticPr fontId="7" type="noConversion"/>
  </si>
  <si>
    <t>直接访问（高价值流量）</t>
    <phoneticPr fontId="7" type="noConversion"/>
  </si>
  <si>
    <t>付费广告（成本中心）</t>
    <phoneticPr fontId="7" type="noConversion"/>
  </si>
  <si>
    <t>客户流量来源</t>
    <phoneticPr fontId="7" type="noConversion"/>
  </si>
  <si>
    <t>累计</t>
    <phoneticPr fontId="7" type="noConversion"/>
  </si>
  <si>
    <t xml:space="preserve">累计 </t>
    <phoneticPr fontId="7" type="noConversion"/>
  </si>
  <si>
    <t>五、获客渠道分析</t>
    <phoneticPr fontId="7" type="noConversion"/>
  </si>
  <si>
    <t>用户行为框架</t>
    <phoneticPr fontId="7" type="noConversion"/>
  </si>
  <si>
    <t>朋友口碑推荐（高价值流量）</t>
    <phoneticPr fontId="7" type="noConversion"/>
  </si>
  <si>
    <t>Cohort Analysis（同期群分析）</t>
    <phoneticPr fontId="7" type="noConversion"/>
  </si>
  <si>
    <t>用户粘性指标（对于网页或APP）</t>
    <phoneticPr fontId="7" type="noConversion"/>
  </si>
  <si>
    <t>页面访问深度</t>
    <phoneticPr fontId="7" type="noConversion"/>
  </si>
  <si>
    <t>单页访问时长</t>
    <phoneticPr fontId="7" type="noConversion"/>
  </si>
  <si>
    <t>页面跳出率</t>
    <phoneticPr fontId="7" type="noConversion"/>
  </si>
  <si>
    <t>客户问卷清单</t>
    <phoneticPr fontId="7" type="noConversion"/>
  </si>
  <si>
    <t>客户1</t>
    <phoneticPr fontId="7" type="noConversion"/>
  </si>
  <si>
    <t>客户2</t>
  </si>
  <si>
    <t>客户3</t>
  </si>
  <si>
    <t>客户经营情况</t>
    <phoneticPr fontId="7" type="noConversion"/>
  </si>
  <si>
    <t xml:space="preserve">1、客户企业今年的经营情况，营收，利润大概水平，同比增加还是减少？ </t>
    <phoneticPr fontId="7" type="noConversion"/>
  </si>
  <si>
    <t>2、未来准备新增多少产能，或采购量？</t>
    <phoneticPr fontId="7" type="noConversion"/>
  </si>
  <si>
    <t>竞争对手</t>
    <phoneticPr fontId="7" type="noConversion"/>
  </si>
  <si>
    <t>与XX合作的订单业绩</t>
    <phoneticPr fontId="7" type="noConversion"/>
  </si>
  <si>
    <t>5、公司的采购模式是怎样？付款和账期条件？</t>
    <phoneticPr fontId="7" type="noConversion"/>
  </si>
  <si>
    <t>6、未来继续与xx合作的话拟于哪些方面合作？</t>
    <phoneticPr fontId="7" type="noConversion"/>
  </si>
  <si>
    <t>5、之前主要是谁供应？</t>
    <phoneticPr fontId="7" type="noConversion"/>
  </si>
  <si>
    <t>8、未来准备新增多少采购量？</t>
    <phoneticPr fontId="7" type="noConversion"/>
  </si>
  <si>
    <t>9、采购量或金额占全部供应商的比例？</t>
    <phoneticPr fontId="7" type="noConversion"/>
  </si>
  <si>
    <t>7、已完成订单数和已签合同数分别多少？采购频率和金额？</t>
    <phoneticPr fontId="7" type="noConversion"/>
  </si>
  <si>
    <t>3、对自身所在行业发展的看法</t>
    <phoneticPr fontId="7" type="noConversion"/>
  </si>
  <si>
    <t>11、采购xx时主要的竞争者都有谁？各自的特点是什么；当时选择xx的原因是？不选择其他企业的原因是？</t>
    <phoneticPr fontId="7" type="noConversion"/>
  </si>
  <si>
    <t xml:space="preserve">10、上游供应商的采购选择多吗？依赖程度如何？竞争激烈吗？新入者的主要门槛是什么； </t>
    <phoneticPr fontId="7" type="noConversion"/>
  </si>
  <si>
    <t>供应商问卷清单</t>
    <phoneticPr fontId="7" type="noConversion"/>
  </si>
  <si>
    <t>供应商经营情况</t>
    <phoneticPr fontId="7" type="noConversion"/>
  </si>
  <si>
    <t xml:space="preserve">1、供应商企业今年的经营情况，营收，利润大概水平，同比增加还是减少？ </t>
    <phoneticPr fontId="7" type="noConversion"/>
  </si>
  <si>
    <t xml:space="preserve">上游供应商的竞争力 </t>
    <phoneticPr fontId="7" type="noConversion"/>
  </si>
  <si>
    <t>5、公司的销售模式是怎样？收款和账期条件？</t>
    <phoneticPr fontId="7" type="noConversion"/>
  </si>
  <si>
    <t>4、哪年开始与xx合作？XX通过什么方式或渠道接触到你们的？XX为什么选择你（价格、质量、增值服务）？</t>
    <phoneticPr fontId="7" type="noConversion"/>
  </si>
  <si>
    <t>与XX合作的采购业绩</t>
    <phoneticPr fontId="7" type="noConversion"/>
  </si>
  <si>
    <t>8、未来准备新增多少销售量？</t>
    <phoneticPr fontId="7" type="noConversion"/>
  </si>
  <si>
    <t>7、已完成采购订单数和已签合同数分别多少？采购频率和金额？</t>
    <phoneticPr fontId="7" type="noConversion"/>
  </si>
  <si>
    <t>9、XX的采购量或金额占全部客户的比例？</t>
    <phoneticPr fontId="7" type="noConversion"/>
  </si>
  <si>
    <t>10、客户的选择多吗？依赖程度如何？是否构成主要成本？如果你不给XX供货了，影响大吗？</t>
    <phoneticPr fontId="7" type="noConversion"/>
  </si>
  <si>
    <t>11、与XX相同行业的竞争对手多吗？给名称，他们的特点是什么？竞争对手也有在你这采购的吗？</t>
    <phoneticPr fontId="7" type="noConversion"/>
  </si>
  <si>
    <t>供应商1</t>
    <phoneticPr fontId="7" type="noConversion"/>
  </si>
  <si>
    <t>供应商2</t>
  </si>
  <si>
    <t>供应商3</t>
  </si>
  <si>
    <t xml:space="preserve">下游客户的竞争力 </t>
    <phoneticPr fontId="7" type="noConversion"/>
  </si>
  <si>
    <t>企业竞争力</t>
    <phoneticPr fontId="7" type="noConversion"/>
  </si>
  <si>
    <t>行业趋势</t>
    <phoneticPr fontId="7" type="noConversion"/>
  </si>
  <si>
    <t>竞品1</t>
    <phoneticPr fontId="7" type="noConversion"/>
  </si>
  <si>
    <t>竞品2</t>
  </si>
  <si>
    <t>竞品3</t>
  </si>
  <si>
    <t>竞品问卷清单</t>
    <phoneticPr fontId="7" type="noConversion"/>
  </si>
  <si>
    <t>1、对自身所在行业发展的看法</t>
    <phoneticPr fontId="7" type="noConversion"/>
  </si>
  <si>
    <t>4、哪年开始与xx合作？通过什么方式或渠道第一次接触到XX的？为什么选择XX（价格、质量、增值服务）？有没有口碑宣传效应？</t>
    <phoneticPr fontId="7" type="noConversion"/>
  </si>
  <si>
    <t>7、XX的前线市场人员，客服服务态度和效率如何？</t>
    <phoneticPr fontId="7" type="noConversion"/>
  </si>
  <si>
    <t>2、对XX的第一印象是什么？</t>
    <phoneticPr fontId="7" type="noConversion"/>
  </si>
  <si>
    <t>3、XX的市场规模和地位？</t>
    <phoneticPr fontId="7" type="noConversion"/>
  </si>
  <si>
    <t>4、产品的核心价值主张、优势、短板？</t>
    <phoneticPr fontId="7" type="noConversion"/>
  </si>
  <si>
    <t>5、管理团队的口碑？</t>
    <phoneticPr fontId="7" type="noConversion"/>
  </si>
  <si>
    <t>6、所了解到用户的评价？</t>
    <phoneticPr fontId="7" type="noConversion"/>
  </si>
  <si>
    <t>1月</t>
    <phoneticPr fontId="7" type="noConversion"/>
  </si>
  <si>
    <t>销售收入</t>
    <phoneticPr fontId="19" type="noConversion"/>
  </si>
  <si>
    <t>销售收入月度增长</t>
    <phoneticPr fontId="19" type="noConversion"/>
  </si>
  <si>
    <t>主营业务成本</t>
    <phoneticPr fontId="19" type="noConversion"/>
  </si>
  <si>
    <t>销售费用</t>
    <phoneticPr fontId="19" type="noConversion"/>
  </si>
  <si>
    <t>管理费用</t>
    <phoneticPr fontId="19" type="noConversion"/>
  </si>
  <si>
    <t>现金余额</t>
    <phoneticPr fontId="19" type="noConversion"/>
  </si>
  <si>
    <t>缺用户访谈</t>
    <phoneticPr fontId="7" type="noConversion"/>
  </si>
  <si>
    <t>资产周转率= 销售收入/ 平均资产总额</t>
    <phoneticPr fontId="13" type="noConversion"/>
  </si>
  <si>
    <t>2016年</t>
    <phoneticPr fontId="19" type="noConversion"/>
  </si>
  <si>
    <t>2017年</t>
    <phoneticPr fontId="19" type="noConversion"/>
  </si>
  <si>
    <t>*</t>
    <phoneticPr fontId="19" type="noConversion"/>
  </si>
  <si>
    <t>5.1 销售费用率</t>
    <phoneticPr fontId="19" type="noConversion"/>
  </si>
  <si>
    <t>5.2 管理费用率</t>
    <phoneticPr fontId="19" type="noConversion"/>
  </si>
  <si>
    <t>5.3 财务成本率</t>
    <phoneticPr fontId="19" type="noConversion"/>
  </si>
  <si>
    <t>关注点1：盈利能力指标</t>
    <phoneticPr fontId="19" type="noConversion"/>
  </si>
  <si>
    <t>关注点2：成长性指标</t>
    <phoneticPr fontId="19" type="noConversion"/>
  </si>
  <si>
    <t>一、盈利能力指标</t>
    <phoneticPr fontId="19" type="noConversion"/>
  </si>
  <si>
    <t>二、成长性指标</t>
    <phoneticPr fontId="19" type="noConversion"/>
  </si>
  <si>
    <t>三、资本运营效率指标</t>
    <phoneticPr fontId="13" type="noConversion"/>
  </si>
  <si>
    <t>关注点3：资本运营效率指标</t>
    <phoneticPr fontId="19" type="noConversion"/>
  </si>
  <si>
    <t>2. 杜邦分析</t>
    <phoneticPr fontId="19" type="noConversion"/>
  </si>
  <si>
    <t>1. 净资产收益率ROE</t>
    <phoneticPr fontId="19" type="noConversion"/>
  </si>
  <si>
    <t>关注点4：盈利质量分析</t>
    <phoneticPr fontId="19" type="noConversion"/>
  </si>
  <si>
    <t>3.1 经营现金流转化率</t>
    <phoneticPr fontId="19" type="noConversion"/>
  </si>
  <si>
    <t>3.2 自由现金流转化率</t>
    <phoneticPr fontId="19" type="noConversion"/>
  </si>
  <si>
    <t>根据不同业务和产品类别，分析三年毛利变化的趋势。</t>
    <phoneticPr fontId="13" type="noConversion"/>
  </si>
  <si>
    <t>分析公司前十大客户毛利率</t>
    <phoneticPr fontId="13" type="noConversion"/>
  </si>
  <si>
    <t>2017年（单位：元）</t>
    <phoneticPr fontId="13" type="noConversion"/>
  </si>
  <si>
    <t>毛利率</t>
    <phoneticPr fontId="19" type="noConversion"/>
  </si>
  <si>
    <t>销售费用占收入比</t>
    <phoneticPr fontId="19" type="noConversion"/>
  </si>
  <si>
    <t>管理费用占收入比</t>
    <phoneticPr fontId="19" type="noConversion"/>
  </si>
  <si>
    <t>销售收入月度增长</t>
    <phoneticPr fontId="7" type="noConversion"/>
  </si>
  <si>
    <t>主营业务成本和毛利率</t>
    <phoneticPr fontId="7" type="noConversion"/>
  </si>
  <si>
    <t>销售和管理费用变化</t>
    <phoneticPr fontId="7" type="noConversion"/>
  </si>
  <si>
    <t>现金流和余额变化</t>
    <phoneticPr fontId="7" type="noConversion"/>
  </si>
  <si>
    <t>经营现金流占利润比</t>
    <phoneticPr fontId="19" type="noConversion"/>
  </si>
  <si>
    <t>目的：验证收入是否增长</t>
    <phoneticPr fontId="19" type="noConversion"/>
  </si>
  <si>
    <t>目标：验证收入是否有竞争力</t>
    <phoneticPr fontId="19" type="noConversion"/>
  </si>
  <si>
    <t>目的：验证费用是否可控</t>
    <phoneticPr fontId="19" type="noConversion"/>
  </si>
  <si>
    <t xml:space="preserve">目的：验证利润是否含金量 </t>
    <phoneticPr fontId="19" type="noConversion"/>
  </si>
  <si>
    <t>分析公司前十大供应商</t>
    <phoneticPr fontId="13" type="noConversion"/>
  </si>
  <si>
    <t>供应商名称</t>
    <phoneticPr fontId="13" type="noConversion"/>
  </si>
  <si>
    <t>采购金额</t>
    <phoneticPr fontId="13" type="noConversion"/>
  </si>
  <si>
    <t>采购品类</t>
    <phoneticPr fontId="7" type="noConversion"/>
  </si>
  <si>
    <t>占总采购金额</t>
    <phoneticPr fontId="7" type="noConversion"/>
  </si>
  <si>
    <t>赊销账期</t>
    <phoneticPr fontId="7" type="noConversion"/>
  </si>
  <si>
    <t>序号</t>
  </si>
  <si>
    <t>正面信号</t>
  </si>
  <si>
    <t>负面信号</t>
  </si>
  <si>
    <t>公司是否有战略计划？</t>
  </si>
  <si>
    <t>有</t>
  </si>
  <si>
    <t>没有或找不到</t>
  </si>
  <si>
    <t>远好于对手</t>
  </si>
  <si>
    <t>差于竞争对手</t>
  </si>
  <si>
    <t>是</t>
  </si>
  <si>
    <t>没有或不规范</t>
  </si>
  <si>
    <t>董事会或股东会审核</t>
  </si>
  <si>
    <t>志向远大、定义清晰</t>
  </si>
  <si>
    <t>愿景、使命模糊不清</t>
  </si>
  <si>
    <t>多年保持一致</t>
  </si>
  <si>
    <t>经常改变</t>
  </si>
  <si>
    <t>目标具体</t>
  </si>
  <si>
    <t>目标模糊</t>
  </si>
  <si>
    <t>有疑问</t>
  </si>
  <si>
    <t>公司主要竞争策略是否具体可行？</t>
  </si>
  <si>
    <t>不确定</t>
  </si>
  <si>
    <t>公司战略是否设立具体的考核指标？</t>
  </si>
  <si>
    <t>没有</t>
  </si>
  <si>
    <t>公司的战略是否与员工、股东深人沟通？</t>
  </si>
  <si>
    <t>没有或很少</t>
  </si>
  <si>
    <t>公司管理层的战略沟通内容是否全面客观？</t>
  </si>
  <si>
    <t>也谈劣势和威胁</t>
  </si>
  <si>
    <t>只谈优势、好消息</t>
  </si>
  <si>
    <t>公司战略检查清单</t>
    <phoneticPr fontId="7" type="noConversion"/>
  </si>
  <si>
    <t>公司是否有规范的战略管理流程？</t>
    <phoneticPr fontId="7" type="noConversion"/>
  </si>
  <si>
    <t>公司是否有年度经营计划和预算？</t>
    <phoneticPr fontId="7" type="noConversion"/>
  </si>
  <si>
    <t>公司的愿景、使命是否远大、清晰？</t>
    <phoneticPr fontId="7" type="noConversion"/>
  </si>
  <si>
    <t>公司的愿景和使命是否经常改变？</t>
    <phoneticPr fontId="7" type="noConversion"/>
  </si>
  <si>
    <t>公司的战略目标是否具体、明确？</t>
    <phoneticPr fontId="7" type="noConversion"/>
  </si>
  <si>
    <r>
      <t>公司的竞争方向选择是否符合</t>
    </r>
    <r>
      <rPr>
        <sz val="9"/>
        <color rgb="FF000000"/>
        <rFont val="宋体"/>
        <family val="3"/>
        <charset val="134"/>
        <scheme val="minor"/>
      </rPr>
      <t>SWOT/行业分析？</t>
    </r>
    <phoneticPr fontId="7" type="noConversion"/>
  </si>
  <si>
    <t>整体而言，如果公司能按计划实现其战略，是否是你心目中的优秀公司？</t>
    <phoneticPr fontId="7" type="noConversion"/>
  </si>
  <si>
    <t>高于对手</t>
  </si>
  <si>
    <t>数量少</t>
  </si>
  <si>
    <t>占比尚</t>
  </si>
  <si>
    <t>占比低</t>
  </si>
  <si>
    <t>否</t>
  </si>
  <si>
    <t>远高于对手</t>
  </si>
  <si>
    <t>专利、发明更多</t>
  </si>
  <si>
    <t>很多，各方面</t>
  </si>
  <si>
    <t>围绕战略</t>
  </si>
  <si>
    <t>持续性</t>
  </si>
  <si>
    <t>颠覆</t>
  </si>
  <si>
    <t>以客户为中心</t>
  </si>
  <si>
    <t>公司每年上市新产品的数量</t>
    <phoneticPr fontId="7" type="noConversion"/>
  </si>
  <si>
    <t>公司的每年新产品销售占比</t>
    <phoneticPr fontId="7" type="noConversion"/>
  </si>
  <si>
    <t>公司的研发、创新是否应用业界新技术</t>
    <phoneticPr fontId="7" type="noConversion"/>
  </si>
  <si>
    <t>与直接竞争对手相比，公司的研发投入（人员、经费）</t>
    <phoneticPr fontId="7" type="noConversion"/>
  </si>
  <si>
    <t>与直接竞争对手相比，公司的研发水平</t>
    <phoneticPr fontId="7" type="noConversion"/>
  </si>
  <si>
    <t>除了新产品，公司在其他方面的创新</t>
    <phoneticPr fontId="7" type="noConversion"/>
  </si>
  <si>
    <t>公司的创新与战略的关系</t>
    <phoneticPr fontId="7" type="noConversion"/>
  </si>
  <si>
    <t>公司的创新是持续的，还是颠覆性的</t>
    <phoneticPr fontId="7" type="noConversion"/>
  </si>
  <si>
    <t>公司创新是否以客户、消费者为中心</t>
    <phoneticPr fontId="7" type="noConversion"/>
  </si>
  <si>
    <t>与直接竞争手相比，战略质量如何？</t>
    <phoneticPr fontId="7" type="noConversion"/>
  </si>
  <si>
    <t>新颖、创新</t>
  </si>
  <si>
    <t>缺乏新意</t>
  </si>
  <si>
    <t>持续出现</t>
  </si>
  <si>
    <t>墨守成规</t>
  </si>
  <si>
    <t>微调</t>
  </si>
  <si>
    <t>大幅改变</t>
  </si>
  <si>
    <t>与计划一致</t>
  </si>
  <si>
    <t>延误、取消</t>
  </si>
  <si>
    <t>反映消费者需求变化</t>
  </si>
  <si>
    <t>落后市场需求</t>
  </si>
  <si>
    <t>快捷、敏感、灵活</t>
  </si>
  <si>
    <t>无新意、比对手慢</t>
  </si>
  <si>
    <t>覆盖更深、更广</t>
  </si>
  <si>
    <t>比竞争对手差</t>
  </si>
  <si>
    <t>很好</t>
  </si>
  <si>
    <t>一般或差</t>
  </si>
  <si>
    <t>快速到位</t>
  </si>
  <si>
    <t>拖沓</t>
  </si>
  <si>
    <t>无影响或影响小</t>
  </si>
  <si>
    <t>影响很大</t>
  </si>
  <si>
    <t>业界闻名</t>
  </si>
  <si>
    <t>少听说</t>
  </si>
  <si>
    <t>公司战略是否大幅变更</t>
    <phoneticPr fontId="7" type="noConversion"/>
  </si>
  <si>
    <t>公司的战略执行效果</t>
    <phoneticPr fontId="7" type="noConversion"/>
  </si>
  <si>
    <t>公司新产品的市场洞察力</t>
    <phoneticPr fontId="7" type="noConversion"/>
  </si>
  <si>
    <t>公司的营销活动表现</t>
    <phoneticPr fontId="7" type="noConversion"/>
  </si>
  <si>
    <t>公司销售的深度和广度</t>
    <phoneticPr fontId="7" type="noConversion"/>
  </si>
  <si>
    <t>公司的客户服务水平</t>
    <phoneticPr fontId="7" type="noConversion"/>
  </si>
  <si>
    <t>公司组织变革执行情况</t>
    <phoneticPr fontId="7" type="noConversion"/>
  </si>
  <si>
    <t>公司组织变革是否影响业绩</t>
    <phoneticPr fontId="7" type="noConversion"/>
  </si>
  <si>
    <t>公司执行力文化</t>
    <phoneticPr fontId="7" type="noConversion"/>
  </si>
  <si>
    <t>公司创新能力检查清单</t>
    <phoneticPr fontId="7" type="noConversion"/>
  </si>
  <si>
    <t xml:space="preserve"> 内容</t>
    <phoneticPr fontId="7" type="noConversion"/>
  </si>
  <si>
    <t>公司的营销活动质量</t>
    <phoneticPr fontId="7" type="noConversion"/>
  </si>
  <si>
    <t>公司的商业模式创新</t>
    <phoneticPr fontId="7" type="noConversion"/>
  </si>
  <si>
    <t>公司是否体现创新文化</t>
    <phoneticPr fontId="7" type="noConversion"/>
  </si>
  <si>
    <t>投入少</t>
    <phoneticPr fontId="7" type="noConversion"/>
  </si>
  <si>
    <t>知识产权少_</t>
    <phoneticPr fontId="7" type="noConversion"/>
  </si>
  <si>
    <t>少见</t>
    <phoneticPr fontId="7" type="noConversion"/>
  </si>
  <si>
    <t>随意</t>
    <phoneticPr fontId="7" type="noConversion"/>
  </si>
  <si>
    <t>否</t>
    <phoneticPr fontId="7" type="noConversion"/>
  </si>
  <si>
    <t>公司执行力检查清单</t>
    <phoneticPr fontId="7" type="noConversion"/>
  </si>
  <si>
    <t>收入占比</t>
    <phoneticPr fontId="13" type="noConversion"/>
  </si>
  <si>
    <t>很多</t>
  </si>
  <si>
    <t>很少</t>
  </si>
  <si>
    <t>是，在重点高校</t>
  </si>
  <si>
    <t>无</t>
  </si>
  <si>
    <t>更低</t>
  </si>
  <si>
    <t>差别化</t>
  </si>
  <si>
    <t>平均主义</t>
  </si>
  <si>
    <t>有，差别化</t>
  </si>
  <si>
    <t>无，或模糊</t>
  </si>
  <si>
    <t>很好，挖角对象</t>
  </si>
  <si>
    <t>人才靠挖对手</t>
  </si>
  <si>
    <t>先进</t>
  </si>
  <si>
    <t>一般，落后</t>
  </si>
  <si>
    <t>有，很全面</t>
  </si>
  <si>
    <t>无，部分</t>
  </si>
  <si>
    <t>业界最早</t>
  </si>
  <si>
    <t>落后业界</t>
  </si>
  <si>
    <t>少有差错</t>
  </si>
  <si>
    <t>经常出错</t>
  </si>
  <si>
    <t>敬业，服务好，有激情</t>
  </si>
  <si>
    <t>服务差，不热情</t>
  </si>
  <si>
    <t>有，不少</t>
  </si>
  <si>
    <t>感激，还想回去</t>
  </si>
  <si>
    <t>评价不好</t>
  </si>
  <si>
    <t>是，言而有信</t>
  </si>
  <si>
    <t>否，经常食言</t>
  </si>
  <si>
    <t>很有进取心</t>
  </si>
  <si>
    <t>得过且过</t>
  </si>
  <si>
    <t>很有远见</t>
  </si>
  <si>
    <t>差强人意</t>
  </si>
  <si>
    <t>限于口头</t>
  </si>
  <si>
    <t>少，低调</t>
  </si>
  <si>
    <t>经常，口出惊人之语</t>
  </si>
  <si>
    <t>是，经常强调</t>
  </si>
  <si>
    <t>经常吹嘘公司业绩</t>
  </si>
  <si>
    <t>否，守旧</t>
  </si>
  <si>
    <t>是，一群经理人</t>
  </si>
  <si>
    <t>一个人独裁</t>
  </si>
  <si>
    <t>优秀，清晰</t>
  </si>
  <si>
    <t>模糊，多变</t>
  </si>
  <si>
    <t>少见</t>
  </si>
  <si>
    <t>公司是否不断招聘到业界领先的人才？</t>
    <phoneticPr fontId="7" type="noConversion"/>
  </si>
  <si>
    <t>公司是否有校园招聘计划？管理培训 生计划？</t>
    <phoneticPr fontId="7" type="noConversion"/>
  </si>
  <si>
    <t>公司的薪酬水平相较于业界竞争对手？</t>
    <phoneticPr fontId="7" type="noConversion"/>
  </si>
  <si>
    <t>公司是否有股权激励计划？</t>
    <phoneticPr fontId="7" type="noConversion"/>
  </si>
  <si>
    <t>公司的薪酬制度如何？</t>
    <phoneticPr fontId="7" type="noConversion"/>
  </si>
  <si>
    <t>公司是否有绩效考核体系？</t>
    <phoneticPr fontId="7" type="noConversion"/>
  </si>
  <si>
    <t>公司是否实行末位淘汰？</t>
    <phoneticPr fontId="7" type="noConversion"/>
  </si>
  <si>
    <t>公司是否有合理的人才流动？</t>
    <phoneticPr fontId="7" type="noConversion"/>
  </si>
  <si>
    <t>公司的人才在业界口碑如何？</t>
    <phoneticPr fontId="7" type="noConversion"/>
  </si>
  <si>
    <t>公司人力资源管理体系在业界口碑？</t>
    <phoneticPr fontId="7" type="noConversion"/>
  </si>
  <si>
    <t>公司是否有健全的计划及全面预算管 理体系？</t>
    <phoneticPr fontId="7" type="noConversion"/>
  </si>
  <si>
    <t>公司财报时间是否快于同业？</t>
    <phoneticPr fontId="7" type="noConversion"/>
  </si>
  <si>
    <t>公司财报质量如何？</t>
    <phoneticPr fontId="7" type="noConversion"/>
  </si>
  <si>
    <t>公司财务管理体系在业界口碑？</t>
    <phoneticPr fontId="7" type="noConversion"/>
  </si>
  <si>
    <t>亲身体验中，公司员工感觉如何？</t>
    <phoneticPr fontId="7" type="noConversion"/>
  </si>
  <si>
    <t>公司是否获得类似“最佳雇主奖”？</t>
    <phoneticPr fontId="7" type="noConversion"/>
  </si>
  <si>
    <t>离职员工对公司的评价如何？</t>
    <phoneticPr fontId="7" type="noConversion"/>
  </si>
  <si>
    <t>公司组织架构是否清晰、扁平？</t>
    <phoneticPr fontId="7" type="noConversion"/>
  </si>
  <si>
    <t>公司最高领导层是否诚信正直？</t>
    <phoneticPr fontId="7" type="noConversion"/>
  </si>
  <si>
    <t>公司最高领导层是否很有事业心？</t>
    <phoneticPr fontId="7" type="noConversion"/>
  </si>
  <si>
    <t>公司管理层是否以股东利益最大化为 行为目标？</t>
    <phoneticPr fontId="7" type="noConversion"/>
  </si>
  <si>
    <t>公司企业家领袖的战略眼光</t>
    <phoneticPr fontId="7" type="noConversion"/>
  </si>
  <si>
    <t>公司最高领导层是否身体力行公司 战略？</t>
    <phoneticPr fontId="7" type="noConversion"/>
  </si>
  <si>
    <t>公司最高领导层是否经常高调见诸 媒体？</t>
    <phoneticPr fontId="7" type="noConversion"/>
  </si>
  <si>
    <t>公司最高领导层是否很有危机感？</t>
    <phoneticPr fontId="7" type="noConversion"/>
  </si>
  <si>
    <t>公司最高领导层是否为一个团队？</t>
    <phoneticPr fontId="7" type="noConversion"/>
  </si>
  <si>
    <t>公司的企业文化如何？</t>
    <phoneticPr fontId="7" type="noConversion"/>
  </si>
  <si>
    <t>公司是否具社会责任感，参与公益？</t>
    <phoneticPr fontId="7" type="noConversion"/>
  </si>
  <si>
    <t>公司最高领导层是否对新事物敏感，拥抱变化，拥抱创新？</t>
    <phoneticPr fontId="7" type="noConversion"/>
  </si>
  <si>
    <t>组织能力检查清单</t>
    <phoneticPr fontId="7" type="noConversion"/>
  </si>
  <si>
    <t>制造而部</t>
    <phoneticPr fontId="7" type="noConversion"/>
  </si>
  <si>
    <t>一、2015-2017年整体员工变动分析</t>
    <phoneticPr fontId="7" type="noConversion"/>
  </si>
  <si>
    <t>二、2015-2017年部门员工变动分析</t>
    <phoneticPr fontId="7" type="noConversion"/>
  </si>
  <si>
    <t>2016年</t>
  </si>
  <si>
    <t>2017年</t>
  </si>
  <si>
    <t>财务管理系统</t>
    <phoneticPr fontId="7" type="noConversion"/>
  </si>
  <si>
    <t>人事管理系统</t>
    <phoneticPr fontId="7" type="noConversion"/>
  </si>
  <si>
    <t>员工</t>
    <phoneticPr fontId="7" type="noConversion"/>
  </si>
  <si>
    <t>团队</t>
    <phoneticPr fontId="7" type="noConversion"/>
  </si>
  <si>
    <t>最高管理层</t>
    <phoneticPr fontId="7" type="noConversion"/>
  </si>
  <si>
    <t>文化</t>
    <phoneticPr fontId="7" type="noConversion"/>
  </si>
  <si>
    <t>项目</t>
    <phoneticPr fontId="7" type="noConversion"/>
  </si>
  <si>
    <t>预期IPO后身价</t>
    <phoneticPr fontId="13" type="noConversion"/>
  </si>
  <si>
    <t xml:space="preserve">   其中员工工资 </t>
    <phoneticPr fontId="19" type="noConversion"/>
  </si>
  <si>
    <t>1. 收入增长率</t>
    <phoneticPr fontId="19" type="noConversion"/>
  </si>
  <si>
    <t>2. 净利增长率</t>
    <phoneticPr fontId="19" type="noConversion"/>
  </si>
  <si>
    <t xml:space="preserve">  - 销售净利率 </t>
    <phoneticPr fontId="19" type="noConversion"/>
  </si>
  <si>
    <t xml:space="preserve">  - 资产周转率</t>
    <phoneticPr fontId="19" type="noConversion"/>
  </si>
  <si>
    <t xml:space="preserve">  - 杠杆比率</t>
    <phoneticPr fontId="19" type="noConversion"/>
  </si>
  <si>
    <t>三项目乘积</t>
    <phoneticPr fontId="19" type="noConversion"/>
  </si>
  <si>
    <t>4.1 资本开支/利润比值</t>
    <phoneticPr fontId="19" type="noConversion"/>
  </si>
  <si>
    <t xml:space="preserve">4.2 资本开支 </t>
    <phoneticPr fontId="19" type="noConversion"/>
  </si>
  <si>
    <t xml:space="preserve"> 1.1 银行贷款-无抵押</t>
    <phoneticPr fontId="19" type="noConversion"/>
  </si>
  <si>
    <t xml:space="preserve"> 1.2 银行贷款-有抵押</t>
    <phoneticPr fontId="19" type="noConversion"/>
  </si>
  <si>
    <t xml:space="preserve">现金 </t>
  </si>
  <si>
    <t>评价</t>
  </si>
  <si>
    <t>年代</t>
    <phoneticPr fontId="13" type="noConversion"/>
  </si>
  <si>
    <t>经营者</t>
    <phoneticPr fontId="13" type="noConversion"/>
  </si>
  <si>
    <t>主要股东</t>
    <phoneticPr fontId="13" type="noConversion"/>
  </si>
  <si>
    <t xml:space="preserve">收入 </t>
    <phoneticPr fontId="13" type="noConversion"/>
  </si>
  <si>
    <t>净利润</t>
    <phoneticPr fontId="13" type="noConversion"/>
  </si>
  <si>
    <t>毛利</t>
    <phoneticPr fontId="13" type="noConversion"/>
  </si>
  <si>
    <t>重大事件</t>
    <phoneticPr fontId="13" type="noConversion"/>
  </si>
  <si>
    <t>市场背景</t>
    <phoneticPr fontId="13" type="noConversion"/>
  </si>
  <si>
    <t>知名客户</t>
    <phoneticPr fontId="13" type="noConversion"/>
  </si>
  <si>
    <t>管理层许诺和预判</t>
    <phoneticPr fontId="13" type="noConversion"/>
  </si>
  <si>
    <t>产品研发和推广</t>
    <phoneticPr fontId="13" type="noConversion"/>
  </si>
  <si>
    <t>重大投资</t>
    <phoneticPr fontId="13" type="noConversion"/>
  </si>
  <si>
    <t>5.4 三项费用率合计</t>
    <phoneticPr fontId="19" type="noConversion"/>
  </si>
  <si>
    <t>1. 短贷（一年内）</t>
    <phoneticPr fontId="19" type="noConversion"/>
  </si>
  <si>
    <t xml:space="preserve"> 1.3 债券</t>
    <phoneticPr fontId="19" type="noConversion"/>
  </si>
  <si>
    <t xml:space="preserve"> 2.1 银行贷款-无抵押</t>
    <phoneticPr fontId="19" type="noConversion"/>
  </si>
  <si>
    <t xml:space="preserve"> 2.2 银行贷款-有抵押</t>
    <phoneticPr fontId="19" type="noConversion"/>
  </si>
  <si>
    <t xml:space="preserve"> 3.3 债券</t>
    <phoneticPr fontId="19" type="noConversion"/>
  </si>
  <si>
    <t>3.1 合计</t>
    <phoneticPr fontId="19" type="noConversion"/>
  </si>
  <si>
    <t>3.2 短贷比例</t>
    <phoneticPr fontId="19" type="noConversion"/>
  </si>
  <si>
    <t>4.1 资产负债率</t>
    <phoneticPr fontId="19" type="noConversion"/>
  </si>
  <si>
    <t>4.3 流动比率</t>
    <phoneticPr fontId="19" type="noConversion"/>
  </si>
  <si>
    <t>4.2 有息资产负债率</t>
    <phoneticPr fontId="19" type="noConversion"/>
  </si>
  <si>
    <t>一、营业收入</t>
    <phoneticPr fontId="19" type="noConversion"/>
  </si>
  <si>
    <t xml:space="preserve">   构成 - A产品</t>
  </si>
  <si>
    <t xml:space="preserve">   构成 - B产品</t>
  </si>
  <si>
    <t xml:space="preserve">   构成 - A产品（占比）</t>
  </si>
  <si>
    <t xml:space="preserve">   构成 - B产品（占比）</t>
  </si>
  <si>
    <t xml:space="preserve">   渠道 - 国内</t>
  </si>
  <si>
    <t xml:space="preserve">   渠道 - 海外</t>
  </si>
  <si>
    <t xml:space="preserve">   渠道 - 国内（占比）</t>
  </si>
  <si>
    <t xml:space="preserve">   渠道 - 海外（占比）</t>
  </si>
  <si>
    <t xml:space="preserve">   构成 - A产品（毛利）</t>
    <phoneticPr fontId="19" type="noConversion"/>
  </si>
  <si>
    <t xml:space="preserve">   构成 - B产品（毛利）</t>
    <phoneticPr fontId="19" type="noConversion"/>
  </si>
  <si>
    <t xml:space="preserve">   销售费用</t>
    <phoneticPr fontId="19" type="noConversion"/>
  </si>
  <si>
    <t xml:space="preserve">   管理费用</t>
    <phoneticPr fontId="19" type="noConversion"/>
  </si>
  <si>
    <t xml:space="preserve">   财务费用</t>
    <phoneticPr fontId="19" type="noConversion"/>
  </si>
  <si>
    <t>减：营业成本</t>
    <phoneticPr fontId="19" type="noConversion"/>
  </si>
  <si>
    <t xml:space="preserve">   营业税金及附加</t>
    <phoneticPr fontId="19" type="noConversion"/>
  </si>
  <si>
    <t xml:space="preserve">   资产减值损失</t>
    <phoneticPr fontId="13" type="noConversion"/>
  </si>
  <si>
    <t>加：公允价值变动收益</t>
    <phoneticPr fontId="19" type="noConversion"/>
  </si>
  <si>
    <t xml:space="preserve">   投资收益</t>
    <phoneticPr fontId="19" type="noConversion"/>
  </si>
  <si>
    <t>二、营业利润</t>
    <phoneticPr fontId="19" type="noConversion"/>
  </si>
  <si>
    <t>加：营业外收入</t>
    <phoneticPr fontId="19" type="noConversion"/>
  </si>
  <si>
    <t>减：营业外支出</t>
    <phoneticPr fontId="19" type="noConversion"/>
  </si>
  <si>
    <t>三、利润总额</t>
    <phoneticPr fontId="19" type="noConversion"/>
  </si>
  <si>
    <t>减：所得税</t>
    <phoneticPr fontId="19" type="noConversion"/>
  </si>
  <si>
    <t>四、净利润</t>
    <phoneticPr fontId="19" type="noConversion"/>
  </si>
  <si>
    <t xml:space="preserve">    归母净利润</t>
    <phoneticPr fontId="19" type="noConversion"/>
  </si>
  <si>
    <t xml:space="preserve">    少数股东损益</t>
    <phoneticPr fontId="19" type="noConversion"/>
  </si>
  <si>
    <t xml:space="preserve">    扣非净利润 </t>
    <phoneticPr fontId="19" type="noConversion"/>
  </si>
  <si>
    <t xml:space="preserve">   货币资金</t>
    <phoneticPr fontId="19" type="noConversion"/>
  </si>
  <si>
    <t xml:space="preserve">   应收账款</t>
    <phoneticPr fontId="19" type="noConversion"/>
  </si>
  <si>
    <t xml:space="preserve">   其他应收账款</t>
    <phoneticPr fontId="19" type="noConversion"/>
  </si>
  <si>
    <t xml:space="preserve">   存货</t>
    <phoneticPr fontId="19" type="noConversion"/>
  </si>
  <si>
    <t xml:space="preserve">   固定资产</t>
    <phoneticPr fontId="19" type="noConversion"/>
  </si>
  <si>
    <t xml:space="preserve">   短期借款</t>
    <phoneticPr fontId="19" type="noConversion"/>
  </si>
  <si>
    <t xml:space="preserve">   应付账款</t>
    <phoneticPr fontId="19" type="noConversion"/>
  </si>
  <si>
    <t xml:space="preserve">   长期借款</t>
    <phoneticPr fontId="19" type="noConversion"/>
  </si>
  <si>
    <t xml:space="preserve">   预付账款</t>
    <phoneticPr fontId="19" type="noConversion"/>
  </si>
  <si>
    <t xml:space="preserve">   可供出售金融资产</t>
    <phoneticPr fontId="19" type="noConversion"/>
  </si>
  <si>
    <t xml:space="preserve">   长期股权投资</t>
    <phoneticPr fontId="19" type="noConversion"/>
  </si>
  <si>
    <t xml:space="preserve">   投资性房地产</t>
    <phoneticPr fontId="19" type="noConversion"/>
  </si>
  <si>
    <t xml:space="preserve">   在建工程</t>
    <phoneticPr fontId="19" type="noConversion"/>
  </si>
  <si>
    <t xml:space="preserve">   无形资产</t>
    <phoneticPr fontId="19" type="noConversion"/>
  </si>
  <si>
    <t xml:space="preserve">   商誉</t>
    <phoneticPr fontId="19" type="noConversion"/>
  </si>
  <si>
    <t xml:space="preserve">   递延所得税资产</t>
    <phoneticPr fontId="19" type="noConversion"/>
  </si>
  <si>
    <t xml:space="preserve">   应付票据</t>
    <phoneticPr fontId="19" type="noConversion"/>
  </si>
  <si>
    <t xml:space="preserve">   预收账款</t>
    <phoneticPr fontId="19" type="noConversion"/>
  </si>
  <si>
    <t xml:space="preserve">   应付职工薪酬</t>
    <phoneticPr fontId="19" type="noConversion"/>
  </si>
  <si>
    <t xml:space="preserve">   其它应付账款</t>
    <phoneticPr fontId="19" type="noConversion"/>
  </si>
  <si>
    <t xml:space="preserve">   应付债券</t>
    <phoneticPr fontId="19" type="noConversion"/>
  </si>
  <si>
    <t xml:space="preserve">   递延所得税负债</t>
    <phoneticPr fontId="19" type="noConversion"/>
  </si>
  <si>
    <t xml:space="preserve">   归母权益合计</t>
    <phoneticPr fontId="19" type="noConversion"/>
  </si>
  <si>
    <t xml:space="preserve">   权益合计</t>
    <phoneticPr fontId="19" type="noConversion"/>
  </si>
  <si>
    <t>2. 长贷（一年以上）</t>
    <phoneticPr fontId="19" type="noConversion"/>
  </si>
  <si>
    <t>4.5 速动比率</t>
    <phoneticPr fontId="19" type="noConversion"/>
  </si>
  <si>
    <t>4.6 保障倍数</t>
    <phoneticPr fontId="19" type="noConversion"/>
  </si>
  <si>
    <t>1.1 经营现金流</t>
    <phoneticPr fontId="19" type="noConversion"/>
  </si>
  <si>
    <t>1.2 投资现金流</t>
    <phoneticPr fontId="19" type="noConversion"/>
  </si>
  <si>
    <t>1.3 筹资现金流</t>
    <phoneticPr fontId="19" type="noConversion"/>
  </si>
  <si>
    <t>1.4 现金净增加额</t>
    <phoneticPr fontId="19" type="noConversion"/>
  </si>
  <si>
    <t>2.1 自由现金流</t>
    <phoneticPr fontId="19" type="noConversion"/>
  </si>
  <si>
    <t>2.2 现金分红</t>
    <phoneticPr fontId="19" type="noConversion"/>
  </si>
  <si>
    <t>2.3 分红率</t>
    <phoneticPr fontId="19" type="noConversion"/>
  </si>
  <si>
    <t>1. 库存周转天数</t>
    <phoneticPr fontId="19" type="noConversion"/>
  </si>
  <si>
    <t>2. 应收账款周转天数</t>
    <phoneticPr fontId="19" type="noConversion"/>
  </si>
  <si>
    <t>3. 应付账款周转天数</t>
    <phoneticPr fontId="19" type="noConversion"/>
  </si>
  <si>
    <t>4. 固定资产周转天数</t>
    <phoneticPr fontId="19" type="noConversion"/>
  </si>
  <si>
    <t xml:space="preserve">5. 总资产周转率   </t>
    <phoneticPr fontId="19" type="noConversion"/>
  </si>
  <si>
    <t>1. 员工总数</t>
    <phoneticPr fontId="19" type="noConversion"/>
  </si>
  <si>
    <t>2. 员工增速</t>
    <phoneticPr fontId="19" type="noConversion"/>
  </si>
  <si>
    <t>3. 人均工资成本</t>
    <phoneticPr fontId="19" type="noConversion"/>
  </si>
  <si>
    <t>4. 人效</t>
    <phoneticPr fontId="19" type="noConversion"/>
  </si>
  <si>
    <t>5. 人效增速</t>
    <phoneticPr fontId="19" type="noConversion"/>
  </si>
  <si>
    <t>6. 专利数量</t>
    <phoneticPr fontId="19" type="noConversion"/>
  </si>
  <si>
    <t>四、人员效率指标</t>
    <phoneticPr fontId="13" type="noConversion"/>
  </si>
  <si>
    <t>五、盈利质量分析</t>
    <phoneticPr fontId="13" type="noConversion"/>
  </si>
  <si>
    <t>六、债务指标</t>
    <phoneticPr fontId="19" type="noConversion"/>
  </si>
  <si>
    <t>七、资本结构</t>
    <phoneticPr fontId="19" type="noConversion"/>
  </si>
  <si>
    <t>资本总市值</t>
    <phoneticPr fontId="19" type="noConversion"/>
  </si>
  <si>
    <t>股票市值/资本总市值</t>
    <phoneticPr fontId="19" type="noConversion"/>
  </si>
  <si>
    <t>年薪</t>
    <phoneticPr fontId="7" type="noConversion"/>
  </si>
  <si>
    <t>持股数量</t>
    <phoneticPr fontId="13" type="noConversion"/>
  </si>
  <si>
    <t>持股市值</t>
    <phoneticPr fontId="13" type="noConversion"/>
  </si>
  <si>
    <t>前任情况</t>
    <phoneticPr fontId="7" type="noConversion"/>
  </si>
  <si>
    <t>三、供应商/客户集中度</t>
    <phoneticPr fontId="13" type="noConversion"/>
  </si>
  <si>
    <t>前五名供应商</t>
  </si>
  <si>
    <t>前五名客户</t>
  </si>
  <si>
    <t>1. 累计利润</t>
    <phoneticPr fontId="19" type="noConversion"/>
  </si>
  <si>
    <t>2.1 累计经营现金流入</t>
    <phoneticPr fontId="19" type="noConversion"/>
  </si>
  <si>
    <t>2.2 累计投资现金流出</t>
    <phoneticPr fontId="19" type="noConversion"/>
  </si>
  <si>
    <t>2.3 累计筹资现金流入</t>
    <phoneticPr fontId="19" type="noConversion"/>
  </si>
  <si>
    <t>2.4 累计现金净流入累计</t>
    <phoneticPr fontId="19" type="noConversion"/>
  </si>
  <si>
    <t>3.1 累计募资</t>
    <phoneticPr fontId="19" type="noConversion"/>
  </si>
  <si>
    <t>3.2 累计回购</t>
    <phoneticPr fontId="19" type="noConversion"/>
  </si>
  <si>
    <t>3.3 累计分红</t>
    <phoneticPr fontId="19" type="noConversion"/>
  </si>
  <si>
    <t>真实经营所得流入</t>
    <phoneticPr fontId="19" type="noConversion"/>
  </si>
  <si>
    <t>八、资本市场</t>
    <phoneticPr fontId="19" type="noConversion"/>
  </si>
  <si>
    <t xml:space="preserve">募资 </t>
    <phoneticPr fontId="19" type="noConversion"/>
  </si>
  <si>
    <t>期末股数</t>
    <phoneticPr fontId="19" type="noConversion"/>
  </si>
  <si>
    <t>股东数量</t>
    <phoneticPr fontId="19" type="noConversion"/>
  </si>
  <si>
    <t>分红方案</t>
    <phoneticPr fontId="19" type="noConversion"/>
  </si>
  <si>
    <t>分红金额</t>
    <phoneticPr fontId="19" type="noConversion"/>
  </si>
  <si>
    <t>分红占净利润</t>
    <phoneticPr fontId="19" type="noConversion"/>
  </si>
  <si>
    <t>未分配利润</t>
    <phoneticPr fontId="19" type="noConversion"/>
  </si>
  <si>
    <t>计算参数 - 分红</t>
    <phoneticPr fontId="19" type="noConversion"/>
  </si>
  <si>
    <t>计算参数 - 送股</t>
    <phoneticPr fontId="19" type="noConversion"/>
  </si>
  <si>
    <t>估值计算</t>
    <phoneticPr fontId="19" type="noConversion"/>
  </si>
  <si>
    <t>估值方法比较</t>
    <phoneticPr fontId="19" type="noConversion"/>
  </si>
  <si>
    <t xml:space="preserve">1. 经调整PE </t>
    <phoneticPr fontId="19" type="noConversion"/>
  </si>
  <si>
    <t>2. 经调整PB</t>
    <phoneticPr fontId="19" type="noConversion"/>
  </si>
  <si>
    <t>3. 现金流估值</t>
    <phoneticPr fontId="19" type="noConversion"/>
  </si>
  <si>
    <t>每股净资产</t>
    <phoneticPr fontId="19" type="noConversion"/>
  </si>
  <si>
    <t>每股现金流</t>
    <phoneticPr fontId="19" type="noConversion"/>
  </si>
  <si>
    <t>4. 投资回报率（ROI）</t>
    <phoneticPr fontId="19" type="noConversion"/>
  </si>
  <si>
    <t>历史投资回报</t>
    <phoneticPr fontId="19" type="noConversion"/>
  </si>
  <si>
    <t>假设1：持股不动+得到分红</t>
    <phoneticPr fontId="19" type="noConversion"/>
  </si>
  <si>
    <t>假设初始购买股份</t>
    <phoneticPr fontId="19" type="noConversion"/>
  </si>
  <si>
    <t>股票市值</t>
    <phoneticPr fontId="19" type="noConversion"/>
  </si>
  <si>
    <t>股份分红</t>
    <phoneticPr fontId="19" type="noConversion"/>
  </si>
  <si>
    <t>IRR（股票）</t>
    <phoneticPr fontId="19" type="noConversion"/>
  </si>
  <si>
    <t>IRR（分红）</t>
    <phoneticPr fontId="19" type="noConversion"/>
  </si>
  <si>
    <t>假设2：分红后买入股票</t>
    <phoneticPr fontId="19" type="noConversion"/>
  </si>
  <si>
    <t xml:space="preserve">股票数量 </t>
    <phoneticPr fontId="19" type="noConversion"/>
  </si>
  <si>
    <t xml:space="preserve">   新发行股数</t>
    <phoneticPr fontId="19" type="noConversion"/>
  </si>
  <si>
    <t xml:space="preserve">   募资金额</t>
    <phoneticPr fontId="19" type="noConversion"/>
  </si>
  <si>
    <t>公司股价</t>
    <phoneticPr fontId="19" type="noConversion"/>
  </si>
  <si>
    <t>公司市值</t>
    <phoneticPr fontId="19" type="noConversion"/>
  </si>
  <si>
    <t>公司PE</t>
    <phoneticPr fontId="19" type="noConversion"/>
  </si>
  <si>
    <t>公司PB</t>
    <phoneticPr fontId="19" type="noConversion"/>
  </si>
  <si>
    <t>股票N年被稀释倍数</t>
    <phoneticPr fontId="19" type="noConversion"/>
  </si>
  <si>
    <t>九、现金角度看价值</t>
    <phoneticPr fontId="19" type="noConversion"/>
  </si>
  <si>
    <t>A股指数</t>
    <phoneticPr fontId="19" type="noConversion"/>
  </si>
  <si>
    <t>A股PE</t>
    <phoneticPr fontId="19" type="noConversion"/>
  </si>
  <si>
    <t>A股PB</t>
    <phoneticPr fontId="19" type="noConversion"/>
  </si>
  <si>
    <t>同期A股/竞品比较</t>
    <phoneticPr fontId="19" type="noConversion"/>
  </si>
  <si>
    <t xml:space="preserve">   应收票据</t>
    <phoneticPr fontId="19" type="noConversion"/>
  </si>
  <si>
    <t>初值</t>
    <phoneticPr fontId="13" type="noConversion"/>
  </si>
  <si>
    <t>终值</t>
    <phoneticPr fontId="13" type="noConversion"/>
  </si>
  <si>
    <t>年期</t>
    <phoneticPr fontId="13" type="noConversion"/>
  </si>
  <si>
    <t>复合增长率</t>
    <phoneticPr fontId="13" type="noConversion"/>
  </si>
  <si>
    <t>示例</t>
    <phoneticPr fontId="13" type="noConversion"/>
  </si>
  <si>
    <t>复合收益率公式</t>
    <phoneticPr fontId="7" type="noConversion"/>
  </si>
  <si>
    <t>年度</t>
    <phoneticPr fontId="7" type="noConversion"/>
  </si>
  <si>
    <t>增长率</t>
    <phoneticPr fontId="7" type="noConversion"/>
  </si>
  <si>
    <t>自由现金流</t>
    <phoneticPr fontId="7" type="noConversion"/>
  </si>
  <si>
    <t>贴现率</t>
    <phoneticPr fontId="7" type="noConversion"/>
  </si>
  <si>
    <t>现值（亿元）</t>
    <phoneticPr fontId="7" type="noConversion"/>
  </si>
  <si>
    <t>（0）2018年</t>
    <phoneticPr fontId="13" type="noConversion"/>
  </si>
  <si>
    <t>（1）2019年</t>
    <phoneticPr fontId="13" type="noConversion"/>
  </si>
  <si>
    <t>（2）2020年</t>
    <phoneticPr fontId="13" type="noConversion"/>
  </si>
  <si>
    <t>（3）2021年</t>
    <phoneticPr fontId="13" type="noConversion"/>
  </si>
  <si>
    <t>（4）2022年</t>
    <phoneticPr fontId="13" type="noConversion"/>
  </si>
  <si>
    <t>（5）2023年</t>
    <phoneticPr fontId="13" type="noConversion"/>
  </si>
  <si>
    <t>（6）2024年</t>
    <phoneticPr fontId="13" type="noConversion"/>
  </si>
  <si>
    <t>（7）2025年</t>
    <phoneticPr fontId="13" type="noConversion"/>
  </si>
  <si>
    <t>（8）2026年</t>
    <phoneticPr fontId="13" type="noConversion"/>
  </si>
  <si>
    <t>（9）2027年</t>
    <phoneticPr fontId="13" type="noConversion"/>
  </si>
  <si>
    <t>（10）2028年</t>
    <phoneticPr fontId="13" type="noConversion"/>
  </si>
  <si>
    <t>2028年以后</t>
    <phoneticPr fontId="13" type="noConversion"/>
  </si>
  <si>
    <t>凯里公式 = (pr-1)/(r-1)   p=赢的概率 r=回报倍数</t>
    <phoneticPr fontId="7" type="noConversion"/>
  </si>
  <si>
    <r>
      <t>情况1：</t>
    </r>
    <r>
      <rPr>
        <sz val="11"/>
        <color theme="1"/>
        <rFont val="宋体"/>
        <family val="2"/>
        <scheme val="minor"/>
      </rPr>
      <t>r=100，p=20%</t>
    </r>
    <phoneticPr fontId="7" type="noConversion"/>
  </si>
  <si>
    <t>情况2：r=2，p=80%</t>
    <phoneticPr fontId="7" type="noConversion"/>
  </si>
  <si>
    <t>情况3：r=10，p=8%</t>
    <phoneticPr fontId="7" type="noConversion"/>
  </si>
  <si>
    <r>
      <t>赢的概率(</t>
    </r>
    <r>
      <rPr>
        <sz val="11"/>
        <color theme="1"/>
        <rFont val="宋体"/>
        <family val="2"/>
        <scheme val="minor"/>
      </rPr>
      <t>p)</t>
    </r>
    <phoneticPr fontId="7" type="noConversion"/>
  </si>
  <si>
    <t>赔率(r)</t>
    <phoneticPr fontId="7" type="noConversion"/>
  </si>
  <si>
    <r>
      <t>当r趋于无穷大时，</t>
    </r>
    <r>
      <rPr>
        <sz val="11"/>
        <color theme="1"/>
        <rFont val="宋体"/>
        <family val="2"/>
        <scheme val="minor"/>
      </rPr>
      <t>f独立于r。计算收益概率远比潜在回报重要。</t>
    </r>
    <phoneticPr fontId="7" type="noConversion"/>
  </si>
  <si>
    <r>
      <t>仓位(</t>
    </r>
    <r>
      <rPr>
        <sz val="11"/>
        <color theme="1"/>
        <rFont val="宋体"/>
        <family val="2"/>
        <scheme val="minor"/>
      </rPr>
      <t>f)</t>
    </r>
    <phoneticPr fontId="7" type="noConversion"/>
  </si>
  <si>
    <t>应用：在风险投资中，如果遇到这样的投资机会，回报为r，收益概率为p。那我们应该如何分配资金(仓位f)？</t>
    <phoneticPr fontId="7" type="noConversion"/>
  </si>
  <si>
    <t>第0年</t>
    <phoneticPr fontId="7" type="noConversion"/>
  </si>
  <si>
    <t>第1年</t>
  </si>
  <si>
    <t>第2年</t>
  </si>
  <si>
    <t>第3年</t>
  </si>
  <si>
    <t>第4年</t>
  </si>
  <si>
    <t>第5年</t>
  </si>
  <si>
    <t>项目1</t>
    <phoneticPr fontId="7" type="noConversion"/>
  </si>
  <si>
    <t>项目2</t>
  </si>
  <si>
    <t>IRR</t>
    <phoneticPr fontId="7" type="noConversion"/>
  </si>
  <si>
    <t>项目3</t>
  </si>
  <si>
    <t>第6年</t>
  </si>
  <si>
    <t>固定利息永续债价值 = 每年支付股息/ 折现率</t>
    <phoneticPr fontId="7" type="noConversion"/>
  </si>
  <si>
    <t>每年支付股息</t>
    <phoneticPr fontId="7" type="noConversion"/>
  </si>
  <si>
    <t>折现率</t>
    <phoneticPr fontId="7" type="noConversion"/>
  </si>
  <si>
    <t>固定利息永续债价值</t>
    <phoneticPr fontId="7" type="noConversion"/>
  </si>
  <si>
    <t>（亿）</t>
    <phoneticPr fontId="7" type="noConversion"/>
  </si>
  <si>
    <t>情况1：支付固定股息，且每年不再增长</t>
    <phoneticPr fontId="7" type="noConversion"/>
  </si>
  <si>
    <t xml:space="preserve"> = EBIT * (1 - 税率)</t>
    <phoneticPr fontId="7" type="noConversion"/>
  </si>
  <si>
    <t xml:space="preserve"> + 折旧 + 摊销 - 资本性支出 </t>
    <phoneticPr fontId="7" type="noConversion"/>
  </si>
  <si>
    <t xml:space="preserve"> - (应收账款变动 + 预付账款变动 + 库存变动) + （应付账款变动 + 预收账款变动）</t>
    <phoneticPr fontId="7" type="noConversion"/>
  </si>
  <si>
    <t>EBIT*(1-税率)</t>
    <phoneticPr fontId="7" type="noConversion"/>
  </si>
  <si>
    <t>息前净利润</t>
  </si>
  <si>
    <t>息前净利润</t>
    <phoneticPr fontId="7" type="noConversion"/>
  </si>
  <si>
    <t>净资本变动</t>
    <phoneticPr fontId="7" type="noConversion"/>
  </si>
  <si>
    <t xml:space="preserve"> +折旧摊销</t>
    <phoneticPr fontId="7" type="noConversion"/>
  </si>
  <si>
    <t xml:space="preserve"> -资本性支出</t>
    <phoneticPr fontId="7" type="noConversion"/>
  </si>
  <si>
    <t xml:space="preserve">  -流动运营资产</t>
    <phoneticPr fontId="7" type="noConversion"/>
  </si>
  <si>
    <t xml:space="preserve">  +流动运营负债</t>
    <phoneticPr fontId="7" type="noConversion"/>
  </si>
  <si>
    <t>公司自由现金流 = 息前净利润 + 净资本变动 - 非现金运营资本变动</t>
    <phoneticPr fontId="7" type="noConversion"/>
  </si>
  <si>
    <t>非现金运营资本变动</t>
    <phoneticPr fontId="7" type="noConversion"/>
  </si>
  <si>
    <t>再投资率 = 再投资净额 / 息前净利润</t>
    <phoneticPr fontId="7" type="noConversion"/>
  </si>
  <si>
    <t xml:space="preserve"> = （净资本变动 - 非现金运营资本变动）/ 息前净利润</t>
    <phoneticPr fontId="7" type="noConversion"/>
  </si>
  <si>
    <t>再投资率是一个比率，通过公司历史数据计算该比率，知道公司平均再投资率是多少。</t>
    <phoneticPr fontId="7" type="noConversion"/>
  </si>
  <si>
    <t>股权自由现金流及折现法</t>
    <phoneticPr fontId="7" type="noConversion"/>
  </si>
  <si>
    <t>情况2：固定增长股息折现，前10年增长率15%，之后稳定在2%。</t>
    <phoneticPr fontId="7" type="noConversion"/>
  </si>
  <si>
    <t>定义</t>
    <phoneticPr fontId="7" type="noConversion"/>
  </si>
  <si>
    <t>公式</t>
    <phoneticPr fontId="7" type="noConversion"/>
  </si>
  <si>
    <t>公司自由现金流及折现法</t>
    <phoneticPr fontId="7" type="noConversion"/>
  </si>
  <si>
    <t>自由现金流代表企业每年拥有可以自由支配的现金，是企业支付必要的运营资本（承担应收、购买存货、支付工资和偿付应付等）和资本性支出（建厂房、购买设备等）后所剩余的现金流。</t>
  </si>
  <si>
    <t>再投资净额</t>
    <phoneticPr fontId="7" type="noConversion"/>
  </si>
  <si>
    <t>再投资净率</t>
    <phoneticPr fontId="7" type="noConversion"/>
  </si>
  <si>
    <t>（0）2015年</t>
    <phoneticPr fontId="13" type="noConversion"/>
  </si>
  <si>
    <t>（0）2016年</t>
  </si>
  <si>
    <t>（0）2017年</t>
  </si>
  <si>
    <t>（0）2018年</t>
  </si>
  <si>
    <t>第1步：估算历史自由现金流</t>
    <phoneticPr fontId="7" type="noConversion"/>
  </si>
  <si>
    <t>第2步：估算再投资率（也可跳过）</t>
    <phoneticPr fontId="7" type="noConversion"/>
  </si>
  <si>
    <t>测算再投资额</t>
    <phoneticPr fontId="7" type="noConversion"/>
  </si>
  <si>
    <t>再投资额</t>
    <phoneticPr fontId="7" type="noConversion"/>
  </si>
  <si>
    <t>第3步：估算未来自由现金流和应用现金流折现法</t>
    <phoneticPr fontId="7" type="noConversion"/>
  </si>
  <si>
    <t>第4步：计算股权价值</t>
    <phoneticPr fontId="7" type="noConversion"/>
  </si>
  <si>
    <t>公司价值现值</t>
    <phoneticPr fontId="13" type="noConversion"/>
  </si>
  <si>
    <t xml:space="preserve"> + 公司价值</t>
    <phoneticPr fontId="7" type="noConversion"/>
  </si>
  <si>
    <t xml:space="preserve"> - 负债</t>
    <phoneticPr fontId="7" type="noConversion"/>
  </si>
  <si>
    <t xml:space="preserve"> + 现金</t>
    <phoneticPr fontId="7" type="noConversion"/>
  </si>
  <si>
    <t>股权价值</t>
    <phoneticPr fontId="7" type="noConversion"/>
  </si>
  <si>
    <t>股权价值反映一家企业对股东而言价值几何。可用市值来理解。</t>
    <phoneticPr fontId="7" type="noConversion"/>
  </si>
  <si>
    <t>股权价值现值</t>
    <phoneticPr fontId="13" type="noConversion"/>
  </si>
  <si>
    <t>企业价值代表所有投资人感兴趣的企业核心经营业务的价值</t>
    <phoneticPr fontId="7" type="noConversion"/>
  </si>
  <si>
    <t>企业价值 = 股权价值 + 企业的债务 + 优先股 + 少数股东权益 - 现金和投资</t>
    <phoneticPr fontId="7" type="noConversion"/>
  </si>
  <si>
    <t>股权价值 = 公司价值 - 负债 + 现金</t>
    <phoneticPr fontId="7" type="noConversion"/>
  </si>
  <si>
    <t>最初数字</t>
    <phoneticPr fontId="13" type="noConversion"/>
  </si>
  <si>
    <t>输入谈判数据</t>
    <phoneticPr fontId="13" type="noConversion"/>
  </si>
  <si>
    <t>输出计算结果</t>
    <phoneticPr fontId="13" type="noConversion"/>
  </si>
  <si>
    <t>股东</t>
    <phoneticPr fontId="13" type="noConversion"/>
  </si>
  <si>
    <t>股数</t>
    <phoneticPr fontId="13" type="noConversion"/>
  </si>
  <si>
    <t>原始股东</t>
    <phoneticPr fontId="13" type="noConversion"/>
  </si>
  <si>
    <t>投前估值</t>
    <phoneticPr fontId="13" type="noConversion"/>
  </si>
  <si>
    <t>谈出来投前估值</t>
    <phoneticPr fontId="13" type="noConversion"/>
  </si>
  <si>
    <t>增资金额</t>
    <phoneticPr fontId="13" type="noConversion"/>
  </si>
  <si>
    <t>X = 投前估值* (股比/(1-股比))</t>
    <phoneticPr fontId="13" type="noConversion"/>
  </si>
  <si>
    <t>我公司（老股）</t>
    <phoneticPr fontId="13" type="noConversion"/>
  </si>
  <si>
    <t>我公司（新股）</t>
    <phoneticPr fontId="13" type="noConversion"/>
  </si>
  <si>
    <t>投后估值</t>
    <phoneticPr fontId="13" type="noConversion"/>
  </si>
  <si>
    <t>原始股东的股比被稀释后</t>
    <phoneticPr fontId="13" type="noConversion"/>
  </si>
  <si>
    <t>第一阶段：增资扩股，例如到</t>
    <phoneticPr fontId="13" type="noConversion"/>
  </si>
  <si>
    <t>第二阶段：增资扩股，例如两轮累计至</t>
    <phoneticPr fontId="13" type="noConversion"/>
  </si>
  <si>
    <t>我公司(新入)</t>
    <phoneticPr fontId="13" type="noConversion"/>
  </si>
  <si>
    <t>谈出来的我公司投后股比</t>
    <phoneticPr fontId="13" type="noConversion"/>
  </si>
  <si>
    <t>由于我公司老股占比被稀释，所以需更多增资股比来调整至投后累计股比。</t>
    <phoneticPr fontId="13" type="noConversion"/>
  </si>
  <si>
    <t>谈出来的我公司新老增资后的投后累计股比</t>
    <phoneticPr fontId="13" type="noConversion"/>
  </si>
  <si>
    <t>股占</t>
    <phoneticPr fontId="13" type="noConversion"/>
  </si>
  <si>
    <t>X = 投前估值* (股比/(1-股比))。注意，由于我公司在第一阶段曾经入股。所以在第二阶段增资时，由于老股占比被稀释，就需要增资更多新股占比。这点有时候容易搞混！</t>
    <phoneticPr fontId="13" type="noConversion"/>
  </si>
  <si>
    <t>“C18”虽然标记灰色，但实际可以调节至真实股份数量，用于代替股比。</t>
    <phoneticPr fontId="7" type="noConversion"/>
  </si>
  <si>
    <t>“C17”虽然标记灰色，但实际可以调节至真实股份数量，用于代替股比。</t>
    <phoneticPr fontId="7" type="noConversion"/>
  </si>
  <si>
    <t>第一阶段</t>
  </si>
  <si>
    <t>增资</t>
    <phoneticPr fontId="13" type="noConversion"/>
  </si>
  <si>
    <t>金额</t>
    <phoneticPr fontId="13" type="noConversion"/>
  </si>
  <si>
    <t>交易后</t>
    <phoneticPr fontId="13" type="noConversion"/>
  </si>
  <si>
    <t>估值</t>
    <phoneticPr fontId="13" type="noConversion"/>
  </si>
  <si>
    <t>第一阶段（转）</t>
  </si>
  <si>
    <t>支付投资额</t>
    <phoneticPr fontId="13" type="noConversion"/>
  </si>
  <si>
    <t>累计股比</t>
    <phoneticPr fontId="13" type="noConversion"/>
  </si>
  <si>
    <t>第一阶段（增）</t>
  </si>
  <si>
    <t>转股</t>
  </si>
  <si>
    <t>第二阶段（增）</t>
  </si>
  <si>
    <t>第三阶段（增）</t>
  </si>
  <si>
    <t>第三阶段（转）</t>
  </si>
  <si>
    <t>支付投资额</t>
    <phoneticPr fontId="13" type="noConversion"/>
  </si>
  <si>
    <t>累计股比</t>
    <phoneticPr fontId="13" type="noConversion"/>
  </si>
  <si>
    <t>转股</t>
    <phoneticPr fontId="13" type="noConversion"/>
  </si>
  <si>
    <t>增资</t>
    <phoneticPr fontId="13" type="noConversion"/>
  </si>
  <si>
    <t>股份总数</t>
    <phoneticPr fontId="13" type="noConversion"/>
  </si>
  <si>
    <t>每股价格</t>
    <phoneticPr fontId="13" type="noConversion"/>
  </si>
  <si>
    <t>转让</t>
    <phoneticPr fontId="13" type="noConversion"/>
  </si>
  <si>
    <t>交易比例</t>
    <phoneticPr fontId="13" type="noConversion"/>
  </si>
  <si>
    <t>公司总股数</t>
    <phoneticPr fontId="13" type="noConversion"/>
  </si>
  <si>
    <t>投后每股价格</t>
    <phoneticPr fontId="13" type="noConversion"/>
  </si>
  <si>
    <t>第二阶段</t>
    <phoneticPr fontId="13" type="noConversion"/>
  </si>
  <si>
    <t>第三阶段</t>
    <phoneticPr fontId="13" type="noConversion"/>
  </si>
  <si>
    <t>转股</t>
    <phoneticPr fontId="13" type="noConversion"/>
  </si>
  <si>
    <t>股数</t>
    <phoneticPr fontId="13" type="noConversion"/>
  </si>
  <si>
    <t>金额</t>
    <phoneticPr fontId="13" type="noConversion"/>
  </si>
  <si>
    <t>交易后</t>
    <phoneticPr fontId="13" type="noConversion"/>
  </si>
  <si>
    <t>估值</t>
    <phoneticPr fontId="13" type="noConversion"/>
  </si>
  <si>
    <t>交易比例</t>
    <phoneticPr fontId="13" type="noConversion"/>
  </si>
  <si>
    <t>公司总股数</t>
    <phoneticPr fontId="13" type="noConversion"/>
  </si>
  <si>
    <t>投前估值</t>
    <phoneticPr fontId="13" type="noConversion"/>
  </si>
  <si>
    <t>投后估值</t>
    <phoneticPr fontId="13" type="noConversion"/>
  </si>
  <si>
    <t>投后每股价格</t>
    <phoneticPr fontId="13" type="noConversion"/>
  </si>
  <si>
    <t>合计</t>
    <phoneticPr fontId="13" type="noConversion"/>
  </si>
  <si>
    <t>股份总数</t>
    <phoneticPr fontId="13" type="noConversion"/>
  </si>
  <si>
    <t>每股价格</t>
    <phoneticPr fontId="13" type="noConversion"/>
  </si>
  <si>
    <t>AAA持有股数</t>
  </si>
  <si>
    <t>AAA持有股比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</si>
</sst>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 #,##0.00_ ;_ * \-#,##0.00_ ;_ * &quot;-&quot;??_ ;_ @_ "/>
    <numFmt numFmtId="176" formatCode="0.00_ "/>
    <numFmt numFmtId="177" formatCode="0.0000%"/>
    <numFmt numFmtId="178" formatCode="0.0000_ "/>
    <numFmt numFmtId="179" formatCode="0_ "/>
    <numFmt numFmtId="180" formatCode="0.0000"/>
    <numFmt numFmtId="181" formatCode="0.00000"/>
    <numFmt numFmtId="182" formatCode="_ * #,##0_ ;_ * \-#,##0_ ;_ * &quot;-&quot;??_ ;_ @_ "/>
    <numFmt numFmtId="183" formatCode="0.000_ "/>
    <numFmt numFmtId="184" formatCode="0.0_ "/>
    <numFmt numFmtId="185" formatCode="###,##0_ "/>
    <numFmt numFmtId="186" formatCode="_-* #,##0_-;\-* #,##0_-;_-* &quot;-&quot;??_-;_-@_-"/>
    <numFmt numFmtId="187" formatCode="0.0%"/>
    <numFmt numFmtId="188" formatCode="#,##0_ "/>
    <numFmt numFmtId="189" formatCode="_ * #,##0.000_ ;_ * \-#,##0.000_ ;_ * &quot;-&quot;??_ ;_ @_ "/>
  </numFmts>
  <fonts count="64"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9"/>
      <name val="宋体"/>
      <family val="2"/>
      <charset val="134"/>
      <scheme val="minor"/>
    </font>
    <font>
      <b/>
      <sz val="11"/>
      <color theme="1"/>
      <name val="宋体"/>
      <family val="3"/>
      <charset val="134"/>
      <scheme val="minor"/>
    </font>
    <font>
      <b/>
      <sz val="12"/>
      <color theme="1"/>
      <name val="宋体"/>
      <family val="3"/>
      <charset val="134"/>
      <scheme val="minor"/>
    </font>
    <font>
      <sz val="12"/>
      <color theme="1"/>
      <name val="宋体"/>
      <family val="3"/>
      <charset val="134"/>
      <scheme val="minor"/>
    </font>
    <font>
      <b/>
      <sz val="12"/>
      <color rgb="FFFFFFFF"/>
      <name val="宋体"/>
      <family val="3"/>
      <charset val="134"/>
      <scheme val="minor"/>
    </font>
    <font>
      <b/>
      <sz val="12"/>
      <color theme="0"/>
      <name val="宋体"/>
      <family val="3"/>
      <charset val="134"/>
      <scheme val="minor"/>
    </font>
    <font>
      <sz val="9"/>
      <name val="宋体"/>
      <family val="3"/>
      <charset val="134"/>
      <scheme val="minor"/>
    </font>
    <font>
      <sz val="11"/>
      <color theme="1"/>
      <name val="宋体"/>
      <family val="3"/>
      <charset val="134"/>
      <scheme val="minor"/>
    </font>
    <font>
      <b/>
      <sz val="11"/>
      <color rgb="FFFFFFFF"/>
      <name val="宋体"/>
      <family val="3"/>
      <charset val="134"/>
    </font>
    <font>
      <b/>
      <sz val="11"/>
      <color theme="0"/>
      <name val="宋体"/>
      <family val="3"/>
      <charset val="134"/>
      <scheme val="minor"/>
    </font>
    <font>
      <b/>
      <sz val="9"/>
      <color indexed="81"/>
      <name val="宋体"/>
      <family val="3"/>
      <charset val="134"/>
    </font>
    <font>
      <sz val="11"/>
      <color rgb="FFFF0000"/>
      <name val="宋体"/>
      <family val="2"/>
      <charset val="134"/>
      <scheme val="minor"/>
    </font>
    <font>
      <sz val="9"/>
      <name val="宋体"/>
      <family val="3"/>
      <charset val="134"/>
    </font>
    <font>
      <sz val="8"/>
      <color theme="1"/>
      <name val="宋体"/>
      <family val="2"/>
      <charset val="134"/>
      <scheme val="minor"/>
    </font>
    <font>
      <sz val="9"/>
      <color theme="1"/>
      <name val="宋体"/>
      <family val="2"/>
      <charset val="134"/>
      <scheme val="minor"/>
    </font>
    <font>
      <sz val="8"/>
      <name val="宋体"/>
      <family val="2"/>
      <charset val="134"/>
      <scheme val="minor"/>
    </font>
    <font>
      <sz val="8"/>
      <name val="宋体"/>
      <family val="3"/>
      <charset val="134"/>
      <scheme val="minor"/>
    </font>
    <font>
      <b/>
      <sz val="8"/>
      <color theme="1"/>
      <name val="宋体"/>
      <family val="3"/>
      <charset val="134"/>
      <scheme val="minor"/>
    </font>
    <font>
      <sz val="8"/>
      <color theme="1"/>
      <name val="宋体"/>
      <family val="3"/>
      <charset val="134"/>
      <scheme val="minor"/>
    </font>
    <font>
      <sz val="9"/>
      <color theme="1"/>
      <name val="宋体"/>
      <family val="3"/>
      <charset val="134"/>
      <scheme val="minor"/>
    </font>
    <font>
      <sz val="6"/>
      <color theme="1"/>
      <name val="宋体"/>
      <family val="3"/>
      <charset val="134"/>
      <scheme val="minor"/>
    </font>
    <font>
      <b/>
      <sz val="10"/>
      <color theme="0"/>
      <name val="宋体"/>
      <family val="3"/>
      <charset val="134"/>
      <scheme val="minor"/>
    </font>
    <font>
      <sz val="10"/>
      <name val="宋体"/>
      <family val="2"/>
      <charset val="134"/>
      <scheme val="minor"/>
    </font>
    <font>
      <b/>
      <sz val="11"/>
      <color rgb="FF0070C0"/>
      <name val="宋体"/>
      <family val="3"/>
      <charset val="134"/>
      <scheme val="minor"/>
    </font>
    <font>
      <b/>
      <sz val="10"/>
      <color rgb="FFFFFFFF"/>
      <name val="宋体"/>
      <family val="3"/>
      <charset val="134"/>
    </font>
    <font>
      <sz val="10"/>
      <color theme="1"/>
      <name val="宋体"/>
      <family val="3"/>
      <charset val="134"/>
    </font>
    <font>
      <b/>
      <sz val="10"/>
      <color theme="1"/>
      <name val="宋体"/>
      <family val="3"/>
      <charset val="134"/>
    </font>
    <font>
      <sz val="11"/>
      <color rgb="FFFF0000"/>
      <name val="宋体"/>
      <family val="3"/>
      <charset val="134"/>
      <scheme val="minor"/>
    </font>
    <font>
      <b/>
      <sz val="10"/>
      <name val="宋体"/>
      <family val="3"/>
      <charset val="134"/>
      <scheme val="minor"/>
    </font>
    <font>
      <b/>
      <sz val="10"/>
      <color theme="1"/>
      <name val="Arial Narrow"/>
      <family val="2"/>
    </font>
    <font>
      <sz val="9"/>
      <color indexed="81"/>
      <name val="宋体"/>
      <family val="3"/>
      <charset val="134"/>
    </font>
    <font>
      <b/>
      <sz val="10"/>
      <color theme="0"/>
      <name val="宋体"/>
      <family val="3"/>
      <charset val="134"/>
    </font>
    <font>
      <sz val="9"/>
      <color rgb="FFFF0000"/>
      <name val="宋体"/>
      <family val="2"/>
      <charset val="134"/>
      <scheme val="minor"/>
    </font>
    <font>
      <sz val="11"/>
      <color rgb="FF000000"/>
      <name val="宋体"/>
      <family val="3"/>
      <charset val="134"/>
    </font>
    <font>
      <sz val="11"/>
      <color theme="1"/>
      <name val="宋体"/>
      <family val="3"/>
      <charset val="134"/>
    </font>
    <font>
      <sz val="11"/>
      <name val="宋体"/>
      <family val="3"/>
      <charset val="134"/>
      <scheme val="minor"/>
    </font>
    <font>
      <b/>
      <sz val="11"/>
      <name val="宋体"/>
      <family val="3"/>
      <charset val="134"/>
      <scheme val="minor"/>
    </font>
    <font>
      <b/>
      <sz val="11"/>
      <color rgb="FF000000"/>
      <name val="宋体"/>
      <family val="3"/>
      <charset val="134"/>
    </font>
    <font>
      <b/>
      <sz val="11"/>
      <color rgb="FFFF0000"/>
      <name val="宋体"/>
      <family val="3"/>
      <charset val="134"/>
      <scheme val="minor"/>
    </font>
    <font>
      <sz val="10.5"/>
      <color theme="1"/>
      <name val="宋体"/>
      <family val="3"/>
      <charset val="134"/>
    </font>
    <font>
      <sz val="10"/>
      <name val="宋体"/>
      <family val="3"/>
      <charset val="134"/>
      <scheme val="minor"/>
    </font>
    <font>
      <sz val="10"/>
      <color theme="1"/>
      <name val="宋体"/>
      <family val="2"/>
      <charset val="134"/>
      <scheme val="minor"/>
    </font>
    <font>
      <sz val="10"/>
      <color theme="1"/>
      <name val="宋体"/>
      <family val="3"/>
      <charset val="134"/>
      <scheme val="minor"/>
    </font>
    <font>
      <sz val="11"/>
      <color rgb="FF0070C0"/>
      <name val="宋体"/>
      <family val="2"/>
      <charset val="134"/>
      <scheme val="minor"/>
    </font>
    <font>
      <sz val="11"/>
      <color rgb="FF0070C0"/>
      <name val="宋体"/>
      <family val="3"/>
      <charset val="134"/>
      <scheme val="minor"/>
    </font>
    <font>
      <sz val="9"/>
      <color rgb="FF000000"/>
      <name val="宋体"/>
      <family val="3"/>
      <charset val="134"/>
      <scheme val="minor"/>
    </font>
    <font>
      <b/>
      <sz val="9"/>
      <color theme="1"/>
      <name val="宋体"/>
      <family val="3"/>
      <charset val="134"/>
      <scheme val="minor"/>
    </font>
    <font>
      <sz val="9"/>
      <color theme="0"/>
      <name val="宋体"/>
      <family val="3"/>
      <charset val="134"/>
      <scheme val="minor"/>
    </font>
    <font>
      <b/>
      <sz val="9"/>
      <color theme="0"/>
      <name val="宋体"/>
      <family val="3"/>
      <charset val="134"/>
      <scheme val="minor"/>
    </font>
    <font>
      <sz val="11"/>
      <color rgb="FFFFFFFF"/>
      <name val="宋体"/>
      <family val="3"/>
      <charset val="134"/>
    </font>
    <font>
      <b/>
      <sz val="11"/>
      <color rgb="FFFFFFFF"/>
      <name val="宋体"/>
      <family val="3"/>
      <charset val="134"/>
      <scheme val="minor"/>
    </font>
    <font>
      <b/>
      <sz val="6"/>
      <color theme="0"/>
      <name val="宋体"/>
      <family val="3"/>
      <charset val="134"/>
      <scheme val="minor"/>
    </font>
    <font>
      <b/>
      <sz val="6"/>
      <color theme="1"/>
      <name val="宋体"/>
      <family val="3"/>
      <charset val="134"/>
      <scheme val="minor"/>
    </font>
    <font>
      <u/>
      <sz val="8"/>
      <color theme="1"/>
      <name val="宋体"/>
      <family val="3"/>
      <charset val="134"/>
      <scheme val="minor"/>
    </font>
    <font>
      <sz val="9"/>
      <color theme="1"/>
      <name val="宋体"/>
      <family val="2"/>
      <scheme val="minor"/>
    </font>
    <font>
      <b/>
      <sz val="9"/>
      <color theme="1"/>
      <name val="宋体"/>
      <family val="3"/>
      <charset val="134"/>
    </font>
    <font>
      <b/>
      <sz val="9"/>
      <color theme="1"/>
      <name val="Times New Roman"/>
      <family val="1"/>
    </font>
  </fonts>
  <fills count="19">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FFF9D9"/>
        <bgColor indexed="64"/>
      </patternFill>
    </fill>
    <fill>
      <patternFill patternType="solid">
        <fgColor rgb="FF376A7D"/>
        <bgColor indexed="64"/>
      </patternFill>
    </fill>
    <fill>
      <patternFill patternType="solid">
        <fgColor theme="0" tint="-0.34998626667073579"/>
        <bgColor indexed="64"/>
      </patternFill>
    </fill>
    <fill>
      <patternFill patternType="solid">
        <fgColor rgb="FF7F7F7F"/>
        <bgColor indexed="64"/>
      </patternFill>
    </fill>
    <fill>
      <patternFill patternType="solid">
        <fgColor rgb="FFBFBFB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alignment vertical="center"/>
    </xf>
    <xf numFmtId="9" fontId="6" fillId="0" borderId="0" applyFont="0" applyFill="0" applyBorder="0" applyAlignment="0" applyProtection="0">
      <alignment vertical="center"/>
    </xf>
    <xf numFmtId="43" fontId="6" fillId="0" borderId="0" applyFont="0" applyFill="0" applyBorder="0" applyAlignment="0" applyProtection="0">
      <alignment vertical="center"/>
    </xf>
    <xf numFmtId="0" fontId="6" fillId="0" borderId="0">
      <alignment vertical="center"/>
    </xf>
    <xf numFmtId="0" fontId="6" fillId="0" borderId="0">
      <alignment vertical="center"/>
    </xf>
    <xf numFmtId="43" fontId="6" fillId="0" borderId="0" applyFont="0" applyFill="0" applyBorder="0" applyAlignment="0" applyProtection="0">
      <alignment vertical="center"/>
    </xf>
    <xf numFmtId="9" fontId="6" fillId="0" borderId="0" applyFont="0" applyFill="0" applyBorder="0" applyAlignment="0" applyProtection="0">
      <alignment vertical="center"/>
    </xf>
    <xf numFmtId="0" fontId="5" fillId="0" borderId="0"/>
    <xf numFmtId="9" fontId="5" fillId="0" borderId="0" applyFont="0" applyFill="0" applyBorder="0" applyAlignment="0" applyProtection="0">
      <alignment vertical="center"/>
    </xf>
    <xf numFmtId="0" fontId="4" fillId="0" borderId="0"/>
    <xf numFmtId="43" fontId="4" fillId="0" borderId="0" applyFont="0" applyFill="0" applyBorder="0" applyAlignment="0" applyProtection="0">
      <alignment vertical="center"/>
    </xf>
    <xf numFmtId="0" fontId="3" fillId="0" borderId="0"/>
    <xf numFmtId="0" fontId="1"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03">
    <xf numFmtId="0" fontId="0" fillId="0" borderId="0" xfId="0">
      <alignment vertical="center"/>
    </xf>
    <xf numFmtId="0" fontId="9" fillId="0" borderId="0" xfId="0" applyFont="1">
      <alignment vertical="center"/>
    </xf>
    <xf numFmtId="178" fontId="10" fillId="0" borderId="0" xfId="0" applyNumberFormat="1" applyFont="1">
      <alignment vertical="center"/>
    </xf>
    <xf numFmtId="177" fontId="10" fillId="0" borderId="0" xfId="0" applyNumberFormat="1" applyFont="1">
      <alignment vertical="center"/>
    </xf>
    <xf numFmtId="0" fontId="10" fillId="0" borderId="0" xfId="0" applyFont="1">
      <alignment vertical="center"/>
    </xf>
    <xf numFmtId="178" fontId="12" fillId="4" borderId="1" xfId="0" applyNumberFormat="1" applyFont="1" applyFill="1" applyBorder="1" applyAlignment="1">
      <alignment horizontal="center" vertical="center" wrapText="1"/>
    </xf>
    <xf numFmtId="178" fontId="12" fillId="4" borderId="1" xfId="0" applyNumberFormat="1" applyFont="1" applyFill="1" applyBorder="1">
      <alignment vertical="center"/>
    </xf>
    <xf numFmtId="178" fontId="12" fillId="5" borderId="1" xfId="0" applyNumberFormat="1" applyFont="1" applyFill="1" applyBorder="1" applyAlignment="1">
      <alignment horizontal="center" vertical="center" wrapText="1"/>
    </xf>
    <xf numFmtId="178" fontId="12" fillId="2" borderId="1" xfId="0" applyNumberFormat="1" applyFont="1" applyFill="1" applyBorder="1" applyAlignment="1">
      <alignment horizontal="center" vertical="center" wrapText="1"/>
    </xf>
    <xf numFmtId="0" fontId="10" fillId="0" borderId="0" xfId="0" applyFont="1" applyAlignment="1">
      <alignment horizontal="center" vertical="center"/>
    </xf>
    <xf numFmtId="176" fontId="10" fillId="8" borderId="1" xfId="0" applyNumberFormat="1" applyFont="1" applyFill="1" applyBorder="1" applyAlignment="1">
      <alignment horizontal="right" vertical="center"/>
    </xf>
    <xf numFmtId="177" fontId="10" fillId="8" borderId="1" xfId="0" applyNumberFormat="1" applyFont="1" applyFill="1" applyBorder="1" applyAlignment="1">
      <alignment horizontal="right" vertical="center"/>
    </xf>
    <xf numFmtId="177" fontId="9" fillId="8" borderId="1" xfId="0" applyNumberFormat="1" applyFont="1" applyFill="1" applyBorder="1" applyAlignment="1">
      <alignment horizontal="right" vertical="center"/>
    </xf>
    <xf numFmtId="178" fontId="10" fillId="8" borderId="1" xfId="0" applyNumberFormat="1" applyFont="1" applyFill="1" applyBorder="1" applyAlignment="1">
      <alignment horizontal="right" vertical="center"/>
    </xf>
    <xf numFmtId="10" fontId="10" fillId="8" borderId="1" xfId="0" applyNumberFormat="1" applyFont="1" applyFill="1" applyBorder="1">
      <alignment vertical="center"/>
    </xf>
    <xf numFmtId="0" fontId="10" fillId="8" borderId="1" xfId="0" applyFont="1" applyFill="1" applyBorder="1">
      <alignment vertical="center"/>
    </xf>
    <xf numFmtId="178" fontId="9" fillId="8" borderId="1" xfId="0" applyNumberFormat="1" applyFont="1" applyFill="1" applyBorder="1" applyAlignment="1">
      <alignment horizontal="right" vertical="center"/>
    </xf>
    <xf numFmtId="179" fontId="10" fillId="8" borderId="1" xfId="0" applyNumberFormat="1" applyFont="1" applyFill="1" applyBorder="1" applyAlignment="1">
      <alignment horizontal="center" vertical="center"/>
    </xf>
    <xf numFmtId="176" fontId="10" fillId="8" borderId="1" xfId="0" applyNumberFormat="1" applyFont="1" applyFill="1" applyBorder="1" applyAlignment="1">
      <alignment horizontal="center" vertical="center"/>
    </xf>
    <xf numFmtId="0" fontId="12" fillId="9" borderId="1" xfId="0" applyFont="1" applyFill="1" applyBorder="1" applyAlignment="1">
      <alignment horizontal="left"/>
    </xf>
    <xf numFmtId="0" fontId="12" fillId="9" borderId="1" xfId="0" applyFont="1" applyFill="1" applyBorder="1" applyAlignment="1">
      <alignment horizontal="center"/>
    </xf>
    <xf numFmtId="180" fontId="10" fillId="8" borderId="1" xfId="0" applyNumberFormat="1" applyFont="1" applyFill="1" applyBorder="1">
      <alignment vertical="center"/>
    </xf>
    <xf numFmtId="181" fontId="10" fillId="8" borderId="1" xfId="0" applyNumberFormat="1" applyFont="1" applyFill="1" applyBorder="1">
      <alignment vertical="center"/>
    </xf>
    <xf numFmtId="176" fontId="12" fillId="4" borderId="1" xfId="0" applyNumberFormat="1" applyFont="1" applyFill="1" applyBorder="1">
      <alignment vertical="center"/>
    </xf>
    <xf numFmtId="0" fontId="10" fillId="0" borderId="0" xfId="0" applyFont="1" applyAlignment="1">
      <alignment horizontal="left" vertical="center"/>
    </xf>
    <xf numFmtId="0" fontId="10" fillId="0" borderId="0" xfId="0" applyFont="1" applyAlignment="1">
      <alignment vertical="top"/>
    </xf>
    <xf numFmtId="0" fontId="11" fillId="3" borderId="1" xfId="0" applyFont="1" applyFill="1" applyBorder="1" applyAlignment="1">
      <alignment horizontal="center" vertical="center"/>
    </xf>
    <xf numFmtId="178" fontId="10" fillId="6" borderId="1" xfId="0" applyNumberFormat="1" applyFont="1" applyFill="1" applyBorder="1" applyAlignment="1">
      <alignment horizontal="right" vertical="center"/>
    </xf>
    <xf numFmtId="178" fontId="10" fillId="6" borderId="0" xfId="0" applyNumberFormat="1" applyFont="1" applyFill="1" applyAlignment="1">
      <alignment horizontal="right" vertical="center"/>
    </xf>
    <xf numFmtId="10" fontId="10" fillId="6" borderId="1" xfId="0" applyNumberFormat="1" applyFont="1" applyFill="1" applyBorder="1">
      <alignment vertical="center"/>
    </xf>
    <xf numFmtId="180" fontId="9" fillId="7" borderId="1" xfId="0" applyNumberFormat="1" applyFont="1" applyFill="1" applyBorder="1">
      <alignment vertical="center"/>
    </xf>
    <xf numFmtId="0" fontId="12" fillId="9" borderId="6" xfId="0" applyFont="1" applyFill="1" applyBorder="1" applyAlignment="1">
      <alignment horizontal="center"/>
    </xf>
    <xf numFmtId="178" fontId="12" fillId="6" borderId="7" xfId="0" applyNumberFormat="1" applyFont="1" applyFill="1" applyBorder="1">
      <alignment vertical="center"/>
    </xf>
    <xf numFmtId="0" fontId="12" fillId="9" borderId="5" xfId="0" applyFont="1" applyFill="1" applyBorder="1" applyAlignment="1">
      <alignment horizontal="center"/>
    </xf>
    <xf numFmtId="178" fontId="12" fillId="4" borderId="8" xfId="0" applyNumberFormat="1" applyFont="1" applyFill="1" applyBorder="1">
      <alignment vertical="center"/>
    </xf>
    <xf numFmtId="178" fontId="12" fillId="6" borderId="8" xfId="0" applyNumberFormat="1" applyFont="1" applyFill="1" applyBorder="1">
      <alignment vertical="center"/>
    </xf>
    <xf numFmtId="0" fontId="12" fillId="9" borderId="9" xfId="0" applyFont="1" applyFill="1" applyBorder="1" applyAlignment="1">
      <alignment horizontal="center"/>
    </xf>
    <xf numFmtId="178" fontId="12" fillId="4" borderId="10" xfId="0" applyNumberFormat="1" applyFont="1" applyFill="1" applyBorder="1">
      <alignment vertical="center"/>
    </xf>
    <xf numFmtId="0" fontId="12" fillId="3" borderId="1" xfId="0" applyFont="1" applyFill="1" applyBorder="1" applyAlignment="1">
      <alignment horizontal="center"/>
    </xf>
    <xf numFmtId="178" fontId="10" fillId="8" borderId="1" xfId="0" applyNumberFormat="1" applyFont="1" applyFill="1" applyBorder="1" applyAlignment="1">
      <alignment horizontal="center" vertical="center"/>
    </xf>
    <xf numFmtId="0" fontId="14" fillId="0" borderId="0" xfId="0" applyFont="1" applyAlignment="1"/>
    <xf numFmtId="0" fontId="16" fillId="9" borderId="1" xfId="0" applyFont="1" applyFill="1" applyBorder="1" applyAlignment="1">
      <alignment horizontal="center"/>
    </xf>
    <xf numFmtId="0" fontId="16" fillId="9" borderId="1" xfId="0" applyFont="1" applyFill="1" applyBorder="1" applyAlignment="1">
      <alignment horizontal="left"/>
    </xf>
    <xf numFmtId="0" fontId="20" fillId="0" borderId="0" xfId="0" applyFont="1">
      <alignment vertical="center"/>
    </xf>
    <xf numFmtId="0" fontId="21" fillId="0" borderId="0" xfId="0" applyFont="1">
      <alignment vertical="center"/>
    </xf>
    <xf numFmtId="0" fontId="22" fillId="15" borderId="1"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23" fillId="0" borderId="0" xfId="0" applyFont="1" applyAlignment="1">
      <alignment horizontal="left" vertical="center"/>
    </xf>
    <xf numFmtId="0" fontId="23" fillId="16" borderId="1" xfId="0" applyFont="1" applyFill="1" applyBorder="1" applyAlignment="1">
      <alignment horizontal="center" vertical="center" wrapText="1"/>
    </xf>
    <xf numFmtId="0" fontId="24" fillId="17" borderId="0" xfId="0" applyFont="1" applyFill="1" applyAlignment="1">
      <alignment horizontal="center" vertical="center"/>
    </xf>
    <xf numFmtId="0" fontId="25" fillId="0" borderId="0" xfId="0" applyFont="1" applyAlignment="1">
      <alignment horizontal="center" vertical="center"/>
    </xf>
    <xf numFmtId="0" fontId="24" fillId="0" borderId="0" xfId="0" applyFont="1">
      <alignment vertical="center"/>
    </xf>
    <xf numFmtId="0" fontId="24" fillId="0" borderId="0" xfId="0" applyFont="1" applyAlignment="1">
      <alignment horizontal="center" vertical="center"/>
    </xf>
    <xf numFmtId="0" fontId="22" fillId="15" borderId="2" xfId="0" applyFont="1" applyFill="1" applyBorder="1" applyAlignment="1">
      <alignment horizontal="center" vertical="center" wrapText="1"/>
    </xf>
    <xf numFmtId="0" fontId="23" fillId="15" borderId="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3" fillId="8"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13" fillId="0" borderId="0" xfId="0" applyFont="1" applyAlignment="1">
      <alignment horizontal="left" vertical="center"/>
    </xf>
    <xf numFmtId="0" fontId="23" fillId="0" borderId="0" xfId="0" applyFont="1" applyAlignment="1">
      <alignment horizontal="center" vertical="center"/>
    </xf>
    <xf numFmtId="0" fontId="13" fillId="0" borderId="0" xfId="0" applyFont="1" applyAlignment="1">
      <alignment horizontal="center" vertical="center"/>
    </xf>
    <xf numFmtId="0" fontId="25" fillId="16" borderId="1" xfId="0" applyFont="1" applyFill="1" applyBorder="1" applyAlignment="1">
      <alignment horizontal="center" vertical="center" wrapText="1"/>
    </xf>
    <xf numFmtId="0" fontId="28" fillId="9" borderId="1" xfId="0" applyFont="1" applyFill="1" applyBorder="1" applyAlignment="1">
      <alignment horizontal="center" vertical="center"/>
    </xf>
    <xf numFmtId="0" fontId="28" fillId="9" borderId="1" xfId="0" applyFont="1" applyFill="1" applyBorder="1" applyAlignment="1">
      <alignment horizontal="center" vertical="center" wrapText="1"/>
    </xf>
    <xf numFmtId="182" fontId="28" fillId="9" borderId="1" xfId="2" applyNumberFormat="1" applyFont="1" applyFill="1" applyBorder="1" applyAlignment="1">
      <alignment horizontal="center" vertical="center" wrapText="1"/>
    </xf>
    <xf numFmtId="0" fontId="0" fillId="8" borderId="1" xfId="0" applyFill="1" applyBorder="1" applyAlignment="1">
      <alignment horizontal="center" vertical="center"/>
    </xf>
    <xf numFmtId="0" fontId="29" fillId="8" borderId="1" xfId="0" applyFont="1" applyFill="1" applyBorder="1" applyAlignment="1">
      <alignment horizontal="center" vertical="center"/>
    </xf>
    <xf numFmtId="0" fontId="29" fillId="8" borderId="1" xfId="0" applyFont="1" applyFill="1" applyBorder="1" applyAlignment="1">
      <alignment horizontal="left" vertical="center"/>
    </xf>
    <xf numFmtId="179" fontId="29" fillId="8" borderId="1" xfId="0" applyNumberFormat="1" applyFont="1" applyFill="1" applyBorder="1" applyAlignment="1">
      <alignment horizontal="center" vertical="center"/>
    </xf>
    <xf numFmtId="183" fontId="29" fillId="8" borderId="1" xfId="0" applyNumberFormat="1" applyFont="1" applyFill="1" applyBorder="1" applyAlignment="1">
      <alignment horizontal="right" vertical="center"/>
    </xf>
    <xf numFmtId="182" fontId="29" fillId="8" borderId="1" xfId="2" applyNumberFormat="1" applyFont="1" applyFill="1" applyBorder="1" applyAlignment="1">
      <alignment horizontal="right" vertical="center"/>
    </xf>
    <xf numFmtId="182" fontId="29" fillId="8" borderId="1" xfId="2" applyNumberFormat="1" applyFont="1" applyFill="1" applyBorder="1" applyAlignment="1">
      <alignment horizontal="center" vertical="center"/>
    </xf>
    <xf numFmtId="184" fontId="29" fillId="8" borderId="1" xfId="0" applyNumberFormat="1" applyFont="1" applyFill="1" applyBorder="1" applyAlignment="1">
      <alignment horizontal="right" vertical="center"/>
    </xf>
    <xf numFmtId="182" fontId="0" fillId="0" borderId="0" xfId="2" applyNumberFormat="1" applyFont="1">
      <alignment vertical="center"/>
    </xf>
    <xf numFmtId="0" fontId="30" fillId="0" borderId="0" xfId="0" applyFont="1">
      <alignment vertical="center"/>
    </xf>
    <xf numFmtId="0" fontId="31" fillId="9" borderId="1" xfId="0" applyFont="1" applyFill="1" applyBorder="1" applyAlignment="1">
      <alignment horizontal="center" vertical="center" wrapText="1"/>
    </xf>
    <xf numFmtId="0" fontId="32" fillId="8" borderId="1" xfId="0" applyFont="1" applyFill="1" applyBorder="1" applyAlignment="1">
      <alignment horizontal="right" vertical="center" wrapText="1"/>
    </xf>
    <xf numFmtId="0" fontId="33" fillId="8" borderId="1" xfId="0" applyFont="1" applyFill="1" applyBorder="1" applyAlignment="1">
      <alignment horizontal="right" vertical="center" wrapText="1"/>
    </xf>
    <xf numFmtId="0" fontId="0" fillId="0" borderId="0" xfId="0" applyAlignment="1"/>
    <xf numFmtId="182" fontId="29" fillId="8" borderId="1" xfId="2" applyNumberFormat="1" applyFont="1" applyFill="1" applyBorder="1" applyAlignment="1">
      <alignment horizontal="left" vertical="center"/>
    </xf>
    <xf numFmtId="10" fontId="29" fillId="8" borderId="1" xfId="0" applyNumberFormat="1" applyFont="1" applyFill="1" applyBorder="1" applyAlignment="1">
      <alignment horizontal="right" vertical="center"/>
    </xf>
    <xf numFmtId="1" fontId="29" fillId="8" borderId="1" xfId="0" applyNumberFormat="1" applyFont="1" applyFill="1" applyBorder="1" applyAlignment="1">
      <alignment horizontal="right" vertical="center"/>
    </xf>
    <xf numFmtId="0" fontId="8" fillId="0" borderId="0" xfId="0" applyFont="1">
      <alignment vertical="center"/>
    </xf>
    <xf numFmtId="0" fontId="28" fillId="18" borderId="1" xfId="0" applyFont="1" applyFill="1" applyBorder="1" applyAlignment="1">
      <alignment horizontal="center" vertical="center"/>
    </xf>
    <xf numFmtId="0" fontId="39" fillId="0" borderId="0" xfId="0" applyFont="1">
      <alignment vertical="center"/>
    </xf>
    <xf numFmtId="0" fontId="36" fillId="8" borderId="1" xfId="0" applyFont="1" applyFill="1" applyBorder="1" applyAlignment="1">
      <alignment horizontal="center" vertical="center"/>
    </xf>
    <xf numFmtId="0" fontId="33" fillId="8" borderId="1" xfId="0" applyFont="1" applyFill="1" applyBorder="1" applyAlignment="1">
      <alignment horizontal="center" vertical="center"/>
    </xf>
    <xf numFmtId="0" fontId="38" fillId="9" borderId="1" xfId="0" applyFont="1" applyFill="1" applyBorder="1" applyAlignment="1">
      <alignment horizontal="center"/>
    </xf>
    <xf numFmtId="0" fontId="16" fillId="9" borderId="1" xfId="4" applyFont="1" applyFill="1" applyBorder="1" applyAlignment="1">
      <alignment horizontal="center"/>
    </xf>
    <xf numFmtId="43" fontId="14" fillId="8" borderId="1" xfId="5" applyFont="1" applyFill="1" applyBorder="1" applyAlignment="1">
      <alignment horizontal="right" vertical="center"/>
    </xf>
    <xf numFmtId="0" fontId="15" fillId="10" borderId="1" xfId="4" applyFont="1" applyFill="1" applyBorder="1" applyAlignment="1">
      <alignment horizontal="center" vertical="center"/>
    </xf>
    <xf numFmtId="182" fontId="14" fillId="8" borderId="1" xfId="5" applyNumberFormat="1" applyFont="1" applyFill="1" applyBorder="1" applyAlignment="1">
      <alignment horizontal="right" vertical="center"/>
    </xf>
    <xf numFmtId="0" fontId="8" fillId="0" borderId="0" xfId="4" applyFont="1" applyAlignment="1"/>
    <xf numFmtId="0" fontId="14" fillId="0" borderId="0" xfId="4" applyFont="1" applyAlignment="1"/>
    <xf numFmtId="0" fontId="16" fillId="9" borderId="1" xfId="4" applyFont="1" applyFill="1" applyBorder="1" applyAlignment="1">
      <alignment horizontal="left"/>
    </xf>
    <xf numFmtId="10" fontId="14" fillId="8" borderId="1" xfId="6" applyNumberFormat="1" applyFont="1" applyFill="1" applyBorder="1" applyAlignment="1"/>
    <xf numFmtId="0" fontId="14" fillId="0" borderId="0" xfId="0" applyFont="1">
      <alignment vertical="center"/>
    </xf>
    <xf numFmtId="0" fontId="15" fillId="9" borderId="1" xfId="0" applyFont="1" applyFill="1" applyBorder="1" applyAlignment="1">
      <alignment horizontal="center" vertical="center" wrapText="1"/>
    </xf>
    <xf numFmtId="0" fontId="15" fillId="12"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40" fillId="8" borderId="1" xfId="0" applyFont="1" applyFill="1" applyBorder="1" applyAlignment="1">
      <alignment horizontal="center" vertical="center" wrapText="1"/>
    </xf>
    <xf numFmtId="43" fontId="40" fillId="8" borderId="1" xfId="2" applyFont="1" applyFill="1" applyBorder="1" applyAlignment="1">
      <alignment horizontal="center" vertical="center" wrapText="1"/>
    </xf>
    <xf numFmtId="10" fontId="41" fillId="8" borderId="1" xfId="0" applyNumberFormat="1" applyFont="1" applyFill="1" applyBorder="1" applyAlignment="1">
      <alignment horizontal="center" vertical="center" wrapText="1"/>
    </xf>
    <xf numFmtId="9" fontId="40" fillId="8" borderId="1" xfId="0" applyNumberFormat="1" applyFont="1" applyFill="1" applyBorder="1" applyAlignment="1">
      <alignment horizontal="center" vertical="center" wrapText="1"/>
    </xf>
    <xf numFmtId="0" fontId="16" fillId="9" borderId="6" xfId="0" applyFont="1" applyFill="1" applyBorder="1" applyAlignment="1">
      <alignment horizontal="center"/>
    </xf>
    <xf numFmtId="0" fontId="16" fillId="9" borderId="5" xfId="0" applyFont="1" applyFill="1" applyBorder="1" applyAlignment="1">
      <alignment horizontal="center"/>
    </xf>
    <xf numFmtId="0" fontId="42" fillId="8" borderId="5" xfId="0" applyFont="1" applyFill="1" applyBorder="1" applyAlignment="1">
      <alignment horizontal="center" vertical="center" wrapText="1"/>
    </xf>
    <xf numFmtId="186" fontId="42" fillId="8" borderId="4" xfId="2" applyNumberFormat="1" applyFont="1" applyFill="1" applyBorder="1" applyAlignment="1">
      <alignment horizontal="right" vertical="center"/>
    </xf>
    <xf numFmtId="186" fontId="42" fillId="8" borderId="24" xfId="2" applyNumberFormat="1" applyFont="1" applyFill="1" applyBorder="1" applyAlignment="1">
      <alignment horizontal="right" vertical="center"/>
    </xf>
    <xf numFmtId="9" fontId="40" fillId="8" borderId="5" xfId="0" applyNumberFormat="1" applyFont="1" applyFill="1" applyBorder="1" applyAlignment="1">
      <alignment horizontal="center" vertical="center" wrapText="1"/>
    </xf>
    <xf numFmtId="9" fontId="40" fillId="8" borderId="8" xfId="0" applyNumberFormat="1" applyFont="1" applyFill="1" applyBorder="1" applyAlignment="1">
      <alignment horizontal="center" vertical="center" wrapText="1"/>
    </xf>
    <xf numFmtId="187" fontId="40" fillId="8" borderId="5" xfId="0" applyNumberFormat="1" applyFont="1" applyFill="1" applyBorder="1" applyAlignment="1">
      <alignment horizontal="center" vertical="center" wrapText="1"/>
    </xf>
    <xf numFmtId="187" fontId="40" fillId="8" borderId="1" xfId="0" applyNumberFormat="1" applyFont="1" applyFill="1" applyBorder="1" applyAlignment="1">
      <alignment horizontal="center" vertical="center" wrapText="1"/>
    </xf>
    <xf numFmtId="187" fontId="40" fillId="8" borderId="8" xfId="0" applyNumberFormat="1" applyFont="1" applyFill="1" applyBorder="1" applyAlignment="1">
      <alignment horizontal="center" vertical="center" wrapText="1"/>
    </xf>
    <xf numFmtId="0" fontId="42" fillId="8" borderId="9" xfId="0" applyFont="1" applyFill="1" applyBorder="1" applyAlignment="1">
      <alignment horizontal="center" vertical="center" wrapText="1"/>
    </xf>
    <xf numFmtId="186" fontId="43" fillId="8" borderId="25" xfId="2" applyNumberFormat="1" applyFont="1" applyFill="1" applyBorder="1" applyAlignment="1">
      <alignment horizontal="right" vertical="center"/>
    </xf>
    <xf numFmtId="186" fontId="43" fillId="8" borderId="26" xfId="2" applyNumberFormat="1" applyFont="1" applyFill="1" applyBorder="1" applyAlignment="1">
      <alignment horizontal="right" vertical="center"/>
    </xf>
    <xf numFmtId="9" fontId="40" fillId="8" borderId="9" xfId="0" applyNumberFormat="1" applyFont="1" applyFill="1" applyBorder="1" applyAlignment="1">
      <alignment horizontal="center" vertical="center" wrapText="1"/>
    </xf>
    <xf numFmtId="9" fontId="40" fillId="8" borderId="18" xfId="0" applyNumberFormat="1" applyFont="1" applyFill="1" applyBorder="1" applyAlignment="1">
      <alignment horizontal="center" vertical="center" wrapText="1"/>
    </xf>
    <xf numFmtId="9" fontId="40" fillId="8" borderId="10" xfId="0" applyNumberFormat="1" applyFont="1" applyFill="1" applyBorder="1" applyAlignment="1">
      <alignment horizontal="center" vertical="center" wrapText="1"/>
    </xf>
    <xf numFmtId="187" fontId="40" fillId="8" borderId="9" xfId="0" applyNumberFormat="1" applyFont="1" applyFill="1" applyBorder="1" applyAlignment="1">
      <alignment horizontal="center" vertical="center" wrapText="1"/>
    </xf>
    <xf numFmtId="187" fontId="40" fillId="8" borderId="18" xfId="0" applyNumberFormat="1" applyFont="1" applyFill="1" applyBorder="1" applyAlignment="1">
      <alignment horizontal="center" vertical="center" wrapText="1"/>
    </xf>
    <xf numFmtId="187" fontId="40" fillId="8" borderId="10" xfId="0" applyNumberFormat="1" applyFont="1" applyFill="1" applyBorder="1" applyAlignment="1">
      <alignment horizontal="center" vertical="center" wrapText="1"/>
    </xf>
    <xf numFmtId="0" fontId="44" fillId="13" borderId="5" xfId="0" applyFont="1" applyFill="1" applyBorder="1" applyAlignment="1">
      <alignment horizontal="center" vertical="center" wrapText="1"/>
    </xf>
    <xf numFmtId="0" fontId="44" fillId="13" borderId="1" xfId="0" applyFont="1" applyFill="1" applyBorder="1" applyAlignment="1">
      <alignment horizontal="center" vertical="center" wrapText="1"/>
    </xf>
    <xf numFmtId="0" fontId="44" fillId="13" borderId="8" xfId="0" applyFont="1" applyFill="1" applyBorder="1" applyAlignment="1">
      <alignment horizontal="center" vertical="center" wrapText="1"/>
    </xf>
    <xf numFmtId="0" fontId="44" fillId="14" borderId="5" xfId="0" applyFont="1" applyFill="1" applyBorder="1" applyAlignment="1">
      <alignment horizontal="center" vertical="center" wrapText="1"/>
    </xf>
    <xf numFmtId="0" fontId="44" fillId="14" borderId="8" xfId="0" applyFont="1" applyFill="1" applyBorder="1" applyAlignment="1">
      <alignment horizontal="center" vertical="center" wrapText="1"/>
    </xf>
    <xf numFmtId="0" fontId="44" fillId="4" borderId="1" xfId="0" applyFont="1" applyFill="1" applyBorder="1" applyAlignment="1">
      <alignment horizontal="center"/>
    </xf>
    <xf numFmtId="0" fontId="44" fillId="4" borderId="8" xfId="0" applyFont="1" applyFill="1" applyBorder="1" applyAlignment="1">
      <alignment horizontal="center"/>
    </xf>
    <xf numFmtId="0" fontId="40" fillId="8" borderId="5" xfId="0" applyFont="1" applyFill="1" applyBorder="1" applyAlignment="1">
      <alignment horizontal="center" vertical="center" wrapText="1"/>
    </xf>
    <xf numFmtId="0" fontId="40" fillId="8" borderId="8" xfId="0" applyFont="1" applyFill="1" applyBorder="1" applyAlignment="1">
      <alignment horizontal="center" vertical="center" wrapText="1"/>
    </xf>
    <xf numFmtId="0" fontId="40" fillId="8" borderId="9" xfId="0" applyFont="1" applyFill="1" applyBorder="1" applyAlignment="1">
      <alignment horizontal="center" vertical="center" wrapText="1"/>
    </xf>
    <xf numFmtId="0" fontId="40" fillId="8" borderId="18" xfId="0" applyFont="1" applyFill="1" applyBorder="1" applyAlignment="1">
      <alignment horizontal="center" vertical="center" wrapText="1"/>
    </xf>
    <xf numFmtId="0" fontId="40" fillId="8" borderId="10" xfId="0" applyFont="1" applyFill="1" applyBorder="1" applyAlignment="1">
      <alignment horizontal="center" vertical="center" wrapText="1"/>
    </xf>
    <xf numFmtId="0" fontId="14" fillId="8" borderId="1" xfId="0" applyFont="1" applyFill="1" applyBorder="1" applyAlignment="1"/>
    <xf numFmtId="0" fontId="8" fillId="8" borderId="20" xfId="0" applyFont="1" applyFill="1" applyBorder="1" applyAlignment="1">
      <alignment horizontal="center" vertical="center"/>
    </xf>
    <xf numFmtId="0" fontId="14" fillId="8" borderId="1" xfId="0" applyFont="1" applyFill="1" applyBorder="1" applyAlignment="1">
      <alignment horizontal="left" vertical="center" wrapText="1"/>
    </xf>
    <xf numFmtId="43" fontId="14" fillId="8" borderId="1" xfId="2" applyFont="1" applyFill="1" applyBorder="1" applyAlignment="1">
      <alignment horizontal="left" vertical="center"/>
    </xf>
    <xf numFmtId="57" fontId="14" fillId="8" borderId="1" xfId="2" applyNumberFormat="1" applyFont="1" applyFill="1" applyBorder="1" applyAlignment="1">
      <alignment horizontal="left" vertical="center"/>
    </xf>
    <xf numFmtId="43" fontId="14" fillId="8" borderId="1" xfId="2" applyFont="1" applyFill="1" applyBorder="1" applyAlignment="1">
      <alignment horizontal="left" vertical="center" wrapText="1"/>
    </xf>
    <xf numFmtId="43" fontId="45" fillId="8" borderId="11" xfId="2" applyFont="1" applyFill="1" applyBorder="1" applyAlignment="1">
      <alignment horizontal="center" vertical="center"/>
    </xf>
    <xf numFmtId="4" fontId="14" fillId="8" borderId="1" xfId="0" applyNumberFormat="1" applyFont="1" applyFill="1" applyBorder="1" applyAlignment="1">
      <alignment horizontal="right" vertical="center"/>
    </xf>
    <xf numFmtId="57" fontId="14" fillId="8" borderId="1" xfId="0" applyNumberFormat="1" applyFont="1" applyFill="1" applyBorder="1" applyAlignment="1">
      <alignment horizontal="right" vertical="center"/>
    </xf>
    <xf numFmtId="0" fontId="14" fillId="8" borderId="1" xfId="0" applyFont="1" applyFill="1" applyBorder="1" applyAlignment="1">
      <alignment horizontal="right" vertical="center" wrapText="1"/>
    </xf>
    <xf numFmtId="0" fontId="8" fillId="8" borderId="21" xfId="0" applyFont="1" applyFill="1" applyBorder="1" applyAlignment="1">
      <alignment horizontal="center" vertical="center"/>
    </xf>
    <xf numFmtId="0" fontId="14" fillId="8" borderId="11" xfId="0" applyFont="1" applyFill="1" applyBorder="1" applyAlignment="1">
      <alignment horizontal="left" vertical="center" wrapText="1"/>
    </xf>
    <xf numFmtId="43" fontId="14" fillId="8" borderId="11" xfId="2" applyFont="1" applyFill="1" applyBorder="1" applyAlignment="1">
      <alignment horizontal="left" vertical="center"/>
    </xf>
    <xf numFmtId="57" fontId="14" fillId="8" borderId="11" xfId="2" applyNumberFormat="1" applyFont="1" applyFill="1" applyBorder="1" applyAlignment="1">
      <alignment horizontal="left" vertical="center"/>
    </xf>
    <xf numFmtId="43" fontId="45" fillId="8" borderId="14" xfId="2" applyFont="1" applyFill="1" applyBorder="1" applyAlignment="1">
      <alignment horizontal="center" vertical="center"/>
    </xf>
    <xf numFmtId="0" fontId="14" fillId="8" borderId="19" xfId="0" applyFont="1" applyFill="1" applyBorder="1">
      <alignment vertical="center"/>
    </xf>
    <xf numFmtId="0" fontId="8" fillId="8" borderId="19" xfId="0" applyFont="1" applyFill="1" applyBorder="1">
      <alignment vertical="center"/>
    </xf>
    <xf numFmtId="0" fontId="14" fillId="8" borderId="20" xfId="0" applyFont="1" applyFill="1" applyBorder="1">
      <alignment vertical="center"/>
    </xf>
    <xf numFmtId="43" fontId="14" fillId="8" borderId="12" xfId="2" applyFont="1" applyFill="1" applyBorder="1" applyAlignment="1">
      <alignment horizontal="left" vertical="center"/>
    </xf>
    <xf numFmtId="0" fontId="14" fillId="8" borderId="12" xfId="0" applyFont="1" applyFill="1" applyBorder="1" applyAlignment="1">
      <alignment horizontal="right" vertical="center" wrapText="1"/>
    </xf>
    <xf numFmtId="0" fontId="14" fillId="8" borderId="0" xfId="0" applyFont="1" applyFill="1">
      <alignment vertical="center"/>
    </xf>
    <xf numFmtId="0" fontId="8" fillId="8" borderId="0" xfId="0" applyFont="1" applyFill="1">
      <alignment vertical="center"/>
    </xf>
    <xf numFmtId="0" fontId="14" fillId="8" borderId="21" xfId="0" applyFont="1" applyFill="1" applyBorder="1">
      <alignment vertical="center"/>
    </xf>
    <xf numFmtId="0" fontId="8" fillId="8" borderId="22" xfId="0" applyFont="1" applyFill="1" applyBorder="1" applyAlignment="1">
      <alignment horizontal="center" vertical="center"/>
    </xf>
    <xf numFmtId="0" fontId="14" fillId="8" borderId="13" xfId="0" applyFont="1" applyFill="1" applyBorder="1">
      <alignment vertical="center"/>
    </xf>
    <xf numFmtId="0" fontId="8" fillId="8" borderId="13" xfId="0" applyFont="1" applyFill="1" applyBorder="1">
      <alignment vertical="center"/>
    </xf>
    <xf numFmtId="0" fontId="14" fillId="8" borderId="22" xfId="0" applyFont="1" applyFill="1" applyBorder="1">
      <alignment vertical="center"/>
    </xf>
    <xf numFmtId="43" fontId="45" fillId="8" borderId="12" xfId="2" applyFont="1" applyFill="1" applyBorder="1" applyAlignment="1">
      <alignment horizontal="center" vertical="center"/>
    </xf>
    <xf numFmtId="43" fontId="8" fillId="8" borderId="12" xfId="2" applyFont="1" applyFill="1" applyBorder="1" applyAlignment="1">
      <alignment horizontal="left" vertical="center"/>
    </xf>
    <xf numFmtId="0" fontId="8" fillId="8" borderId="1" xfId="0" applyFont="1" applyFill="1" applyBorder="1" applyAlignment="1">
      <alignment horizontal="center" vertical="center"/>
    </xf>
    <xf numFmtId="185" fontId="14" fillId="8" borderId="1" xfId="3" applyNumberFormat="1" applyFont="1" applyFill="1" applyBorder="1">
      <alignment vertical="center"/>
    </xf>
    <xf numFmtId="10" fontId="14" fillId="8" borderId="1" xfId="1" applyNumberFormat="1" applyFont="1" applyFill="1" applyBorder="1">
      <alignment vertical="center"/>
    </xf>
    <xf numFmtId="0" fontId="14" fillId="8" borderId="1" xfId="0" applyFont="1" applyFill="1" applyBorder="1" applyAlignment="1">
      <alignment horizontal="center" vertical="center"/>
    </xf>
    <xf numFmtId="0" fontId="5" fillId="0" borderId="0" xfId="7"/>
    <xf numFmtId="182" fontId="8" fillId="8" borderId="1" xfId="5" applyNumberFormat="1" applyFont="1" applyFill="1" applyBorder="1" applyAlignment="1">
      <alignment horizontal="right" vertical="center"/>
    </xf>
    <xf numFmtId="10" fontId="14" fillId="8" borderId="1" xfId="8" applyNumberFormat="1" applyFont="1" applyFill="1" applyBorder="1" applyAlignment="1">
      <alignment horizontal="right" vertical="center"/>
    </xf>
    <xf numFmtId="10" fontId="8" fillId="8" borderId="1" xfId="8" applyNumberFormat="1" applyFont="1" applyFill="1" applyBorder="1" applyAlignment="1">
      <alignment horizontal="right" vertical="center"/>
    </xf>
    <xf numFmtId="10" fontId="14" fillId="16" borderId="1" xfId="8" applyNumberFormat="1" applyFont="1" applyFill="1" applyBorder="1" applyAlignment="1">
      <alignment horizontal="right" vertical="center"/>
    </xf>
    <xf numFmtId="182" fontId="14" fillId="16" borderId="1" xfId="5" applyNumberFormat="1" applyFont="1" applyFill="1" applyBorder="1" applyAlignment="1">
      <alignment horizontal="right" vertical="center"/>
    </xf>
    <xf numFmtId="0" fontId="6" fillId="0" borderId="0" xfId="3">
      <alignment vertical="center"/>
    </xf>
    <xf numFmtId="0" fontId="28" fillId="9" borderId="0" xfId="3" applyFont="1" applyFill="1" applyAlignment="1">
      <alignment horizontal="center" vertical="center"/>
    </xf>
    <xf numFmtId="0" fontId="35" fillId="8" borderId="1" xfId="3" applyFont="1" applyFill="1" applyBorder="1" applyAlignment="1">
      <alignment horizontal="left" vertical="center"/>
    </xf>
    <xf numFmtId="0" fontId="29" fillId="8" borderId="1" xfId="3" applyFont="1" applyFill="1" applyBorder="1" applyAlignment="1">
      <alignment horizontal="left" vertical="center"/>
    </xf>
    <xf numFmtId="0" fontId="47" fillId="8" borderId="1" xfId="3" applyFont="1" applyFill="1" applyBorder="1" applyAlignment="1">
      <alignment horizontal="left" vertical="center"/>
    </xf>
    <xf numFmtId="0" fontId="15" fillId="10" borderId="1" xfId="4" applyFont="1" applyFill="1" applyBorder="1" applyAlignment="1">
      <alignment horizontal="left" vertical="center"/>
    </xf>
    <xf numFmtId="9" fontId="14" fillId="8" borderId="1" xfId="1" applyFont="1" applyFill="1" applyBorder="1" applyAlignment="1">
      <alignment horizontal="right" vertical="center"/>
    </xf>
    <xf numFmtId="0" fontId="0" fillId="0" borderId="0" xfId="0" applyAlignment="1">
      <alignment horizontal="center" vertical="center"/>
    </xf>
    <xf numFmtId="0" fontId="15" fillId="10" borderId="1" xfId="4" applyFont="1" applyFill="1" applyBorder="1" applyAlignment="1">
      <alignment horizontal="left" vertical="center" wrapText="1"/>
    </xf>
    <xf numFmtId="0" fontId="16" fillId="9" borderId="1" xfId="4" applyFont="1" applyFill="1" applyBorder="1" applyAlignment="1">
      <alignment horizontal="left" wrapText="1"/>
    </xf>
    <xf numFmtId="0" fontId="18" fillId="0" borderId="0" xfId="0" applyFont="1" applyAlignment="1">
      <alignment horizontal="center" vertical="center"/>
    </xf>
    <xf numFmtId="0" fontId="34" fillId="0" borderId="0" xfId="0" applyFont="1">
      <alignment vertical="center"/>
    </xf>
    <xf numFmtId="0" fontId="15" fillId="10" borderId="1" xfId="4" applyFont="1" applyFill="1" applyBorder="1">
      <alignment vertical="center"/>
    </xf>
    <xf numFmtId="43" fontId="14" fillId="8" borderId="1" xfId="2" applyFont="1" applyFill="1" applyBorder="1" applyAlignment="1">
      <alignment horizontal="right" vertical="center"/>
    </xf>
    <xf numFmtId="0" fontId="18" fillId="0" borderId="0" xfId="0" applyFont="1">
      <alignment vertical="center"/>
    </xf>
    <xf numFmtId="0" fontId="15" fillId="10" borderId="14" xfId="4" applyFont="1" applyFill="1" applyBorder="1" applyAlignment="1">
      <alignment horizontal="left" vertical="center" wrapText="1"/>
    </xf>
    <xf numFmtId="0" fontId="46" fillId="0" borderId="0" xfId="0" applyFont="1" applyAlignment="1">
      <alignment horizontal="justify" vertical="center"/>
    </xf>
    <xf numFmtId="0" fontId="0" fillId="16" borderId="0" xfId="3" applyFont="1" applyFill="1">
      <alignment vertical="center"/>
    </xf>
    <xf numFmtId="0" fontId="34" fillId="0" borderId="0" xfId="0" applyFont="1" applyAlignment="1">
      <alignment horizontal="center"/>
    </xf>
    <xf numFmtId="0" fontId="34" fillId="0" borderId="0" xfId="0" applyFont="1" applyAlignment="1"/>
    <xf numFmtId="0" fontId="50" fillId="0" borderId="0" xfId="0" applyFont="1">
      <alignment vertical="center"/>
    </xf>
    <xf numFmtId="0" fontId="51" fillId="0" borderId="0" xfId="0" applyFont="1">
      <alignment vertical="center"/>
    </xf>
    <xf numFmtId="0" fontId="26" fillId="0" borderId="0" xfId="0" applyFont="1">
      <alignment vertical="center"/>
    </xf>
    <xf numFmtId="0" fontId="54" fillId="9" borderId="1" xfId="0" applyFont="1" applyFill="1" applyBorder="1" applyAlignment="1">
      <alignment horizontal="center"/>
    </xf>
    <xf numFmtId="0" fontId="26" fillId="8" borderId="1" xfId="0" applyFont="1" applyFill="1" applyBorder="1" applyAlignment="1">
      <alignment horizontal="center" vertical="center"/>
    </xf>
    <xf numFmtId="0" fontId="26" fillId="8" borderId="1" xfId="0" applyFont="1" applyFill="1" applyBorder="1" applyAlignment="1">
      <alignment horizontal="left" vertical="center"/>
    </xf>
    <xf numFmtId="0" fontId="53" fillId="0" borderId="0" xfId="0" applyFont="1" applyAlignment="1">
      <alignment horizontal="left" vertical="center"/>
    </xf>
    <xf numFmtId="0" fontId="53" fillId="0" borderId="0" xfId="0" applyFont="1">
      <alignment vertical="center"/>
    </xf>
    <xf numFmtId="0" fontId="26" fillId="8" borderId="1" xfId="0" applyFont="1" applyFill="1" applyBorder="1">
      <alignment vertical="center"/>
    </xf>
    <xf numFmtId="0" fontId="55" fillId="9" borderId="1" xfId="0" applyFont="1" applyFill="1" applyBorder="1" applyAlignment="1">
      <alignment horizontal="center"/>
    </xf>
    <xf numFmtId="0" fontId="26" fillId="0" borderId="0" xfId="0" applyFont="1" applyAlignment="1"/>
    <xf numFmtId="0" fontId="15" fillId="9" borderId="1" xfId="0" applyFont="1" applyFill="1" applyBorder="1" applyAlignment="1">
      <alignment horizontal="center" vertical="center"/>
    </xf>
    <xf numFmtId="0" fontId="15" fillId="11" borderId="1" xfId="0" applyFont="1" applyFill="1" applyBorder="1" applyAlignment="1">
      <alignment horizontal="center" vertical="center"/>
    </xf>
    <xf numFmtId="0" fontId="56" fillId="16" borderId="1" xfId="4" applyFont="1" applyFill="1" applyBorder="1" applyAlignment="1">
      <alignment horizontal="left" vertical="center"/>
    </xf>
    <xf numFmtId="182" fontId="14" fillId="8" borderId="1" xfId="2" applyNumberFormat="1" applyFont="1" applyFill="1" applyBorder="1" applyAlignment="1">
      <alignment horizontal="right" vertical="center"/>
    </xf>
    <xf numFmtId="0" fontId="55" fillId="9" borderId="0" xfId="9" applyFont="1" applyFill="1" applyAlignment="1">
      <alignment horizontal="center"/>
    </xf>
    <xf numFmtId="0" fontId="26" fillId="0" borderId="0" xfId="9" applyFont="1" applyAlignment="1">
      <alignment horizontal="center"/>
    </xf>
    <xf numFmtId="0" fontId="26" fillId="8" borderId="1" xfId="9" applyFont="1" applyFill="1" applyBorder="1" applyAlignment="1">
      <alignment horizontal="center" vertical="top" wrapText="1"/>
    </xf>
    <xf numFmtId="0" fontId="26" fillId="8" borderId="1" xfId="9" applyFont="1" applyFill="1" applyBorder="1" applyAlignment="1">
      <alignment vertical="top" wrapText="1"/>
    </xf>
    <xf numFmtId="182" fontId="26" fillId="8" borderId="1" xfId="10" applyNumberFormat="1" applyFont="1" applyFill="1" applyBorder="1" applyAlignment="1">
      <alignment vertical="top"/>
    </xf>
    <xf numFmtId="10" fontId="26" fillId="8" borderId="1" xfId="6" applyNumberFormat="1" applyFont="1" applyFill="1" applyBorder="1" applyAlignment="1">
      <alignment vertical="top"/>
    </xf>
    <xf numFmtId="0" fontId="26" fillId="0" borderId="0" xfId="9" applyFont="1"/>
    <xf numFmtId="31" fontId="26" fillId="0" borderId="0" xfId="9" applyNumberFormat="1" applyFont="1" applyAlignment="1">
      <alignment horizontal="center"/>
    </xf>
    <xf numFmtId="179" fontId="29" fillId="8" borderId="1" xfId="0" applyNumberFormat="1" applyFont="1" applyFill="1" applyBorder="1" applyAlignment="1">
      <alignment horizontal="center" vertical="center" wrapText="1"/>
    </xf>
    <xf numFmtId="10" fontId="14" fillId="8" borderId="1" xfId="6" applyNumberFormat="1" applyFont="1" applyFill="1" applyBorder="1" applyAlignment="1">
      <alignment horizontal="right"/>
    </xf>
    <xf numFmtId="0" fontId="16" fillId="9" borderId="1" xfId="4" applyFont="1" applyFill="1" applyBorder="1" applyAlignment="1">
      <alignment horizontal="right"/>
    </xf>
    <xf numFmtId="2" fontId="14" fillId="8" borderId="1" xfId="4" applyNumberFormat="1" applyFont="1" applyFill="1" applyBorder="1" applyAlignment="1">
      <alignment horizontal="right"/>
    </xf>
    <xf numFmtId="0" fontId="14" fillId="8" borderId="1" xfId="6" applyNumberFormat="1" applyFont="1" applyFill="1" applyBorder="1" applyAlignment="1">
      <alignment horizontal="right"/>
    </xf>
    <xf numFmtId="4" fontId="14" fillId="8" borderId="1" xfId="4" applyNumberFormat="1" applyFont="1" applyFill="1" applyBorder="1" applyAlignment="1">
      <alignment horizontal="right"/>
    </xf>
    <xf numFmtId="0" fontId="14" fillId="8" borderId="1" xfId="4" applyFont="1" applyFill="1" applyBorder="1" applyAlignment="1">
      <alignment horizontal="right"/>
    </xf>
    <xf numFmtId="0" fontId="15" fillId="16" borderId="1" xfId="4" applyFont="1" applyFill="1" applyBorder="1" applyAlignment="1">
      <alignment horizontal="left" vertical="center"/>
    </xf>
    <xf numFmtId="0" fontId="57" fillId="10" borderId="1" xfId="4" applyFont="1" applyFill="1" applyBorder="1" applyAlignment="1">
      <alignment horizontal="left" vertical="center"/>
    </xf>
    <xf numFmtId="0" fontId="57" fillId="10" borderId="12" xfId="4" applyFont="1" applyFill="1" applyBorder="1" applyAlignment="1">
      <alignment horizontal="left" vertical="center"/>
    </xf>
    <xf numFmtId="0" fontId="16" fillId="9" borderId="12" xfId="4" applyFont="1" applyFill="1" applyBorder="1" applyAlignment="1">
      <alignment horizontal="left"/>
    </xf>
    <xf numFmtId="0" fontId="3" fillId="0" borderId="0" xfId="11" applyAlignment="1">
      <alignment horizontal="center"/>
    </xf>
    <xf numFmtId="0" fontId="3" fillId="0" borderId="0" xfId="11"/>
    <xf numFmtId="0" fontId="8" fillId="0" borderId="0" xfId="11" applyFont="1"/>
    <xf numFmtId="0" fontId="3" fillId="0" borderId="1" xfId="11" applyBorder="1" applyAlignment="1">
      <alignment horizontal="center"/>
    </xf>
    <xf numFmtId="0" fontId="14" fillId="16" borderId="1" xfId="11" applyFont="1" applyFill="1" applyBorder="1" applyAlignment="1">
      <alignment horizontal="center"/>
    </xf>
    <xf numFmtId="0" fontId="3" fillId="6" borderId="1" xfId="11" applyFill="1" applyBorder="1" applyAlignment="1">
      <alignment horizontal="center"/>
    </xf>
    <xf numFmtId="187" fontId="3" fillId="16" borderId="1" xfId="1" applyNumberFormat="1" applyFont="1" applyFill="1" applyBorder="1" applyAlignment="1">
      <alignment horizontal="center"/>
    </xf>
    <xf numFmtId="187" fontId="3" fillId="0" borderId="0" xfId="11" applyNumberFormat="1" applyAlignment="1">
      <alignment horizontal="center"/>
    </xf>
    <xf numFmtId="187" fontId="3" fillId="0" borderId="0" xfId="1" applyNumberFormat="1" applyFont="1" applyAlignment="1"/>
    <xf numFmtId="0" fontId="2" fillId="0" borderId="0" xfId="11" applyFont="1"/>
    <xf numFmtId="9" fontId="3" fillId="6" borderId="1" xfId="11" applyNumberFormat="1" applyFill="1" applyBorder="1" applyAlignment="1">
      <alignment horizontal="center"/>
    </xf>
    <xf numFmtId="0" fontId="2" fillId="0" borderId="2" xfId="11" applyFont="1" applyBorder="1" applyAlignment="1">
      <alignment horizontal="center"/>
    </xf>
    <xf numFmtId="0" fontId="2" fillId="0" borderId="1" xfId="11" applyFont="1" applyBorder="1" applyAlignment="1">
      <alignment horizontal="center"/>
    </xf>
    <xf numFmtId="187" fontId="26" fillId="8" borderId="1" xfId="1" applyNumberFormat="1" applyFont="1" applyFill="1" applyBorder="1" applyAlignment="1">
      <alignment horizontal="right" vertical="center"/>
    </xf>
    <xf numFmtId="188" fontId="26" fillId="8" borderId="1" xfId="2" applyNumberFormat="1" applyFont="1" applyFill="1" applyBorder="1" applyAlignment="1">
      <alignment horizontal="right" vertical="center"/>
    </xf>
    <xf numFmtId="0" fontId="53" fillId="0" borderId="0" xfId="0" applyFont="1" applyAlignment="1"/>
    <xf numFmtId="9" fontId="26" fillId="0" borderId="0" xfId="0" applyNumberFormat="1" applyFont="1" applyAlignment="1"/>
    <xf numFmtId="0" fontId="53" fillId="16" borderId="0" xfId="0" applyFont="1" applyFill="1" applyAlignment="1"/>
    <xf numFmtId="0" fontId="58" fillId="9" borderId="1" xfId="0" applyFont="1" applyFill="1" applyBorder="1" applyAlignment="1">
      <alignment horizontal="center"/>
    </xf>
    <xf numFmtId="0" fontId="58" fillId="9" borderId="1" xfId="0" applyFont="1" applyFill="1" applyBorder="1" applyAlignment="1">
      <alignment horizontal="left"/>
    </xf>
    <xf numFmtId="43" fontId="27" fillId="8" borderId="1" xfId="2" applyFont="1" applyFill="1" applyBorder="1" applyAlignment="1">
      <alignment horizontal="right" vertical="center"/>
    </xf>
    <xf numFmtId="43" fontId="26" fillId="0" borderId="0" xfId="0" applyNumberFormat="1" applyFont="1" applyAlignment="1"/>
    <xf numFmtId="0" fontId="26" fillId="16" borderId="0" xfId="0" applyFont="1" applyFill="1" applyAlignment="1"/>
    <xf numFmtId="9" fontId="27" fillId="8" borderId="1" xfId="1" applyFont="1" applyFill="1" applyBorder="1" applyAlignment="1">
      <alignment horizontal="right" vertical="center"/>
    </xf>
    <xf numFmtId="9" fontId="59" fillId="8" borderId="1" xfId="1" applyFont="1" applyFill="1" applyBorder="1" applyAlignment="1">
      <alignment horizontal="right" vertical="center"/>
    </xf>
    <xf numFmtId="43" fontId="26" fillId="0" borderId="0" xfId="2" applyFont="1" applyAlignment="1"/>
    <xf numFmtId="43" fontId="59" fillId="8" borderId="1" xfId="2" applyFont="1" applyFill="1" applyBorder="1" applyAlignment="1">
      <alignment horizontal="right" vertical="center"/>
    </xf>
    <xf numFmtId="0" fontId="25" fillId="0" borderId="0" xfId="0" applyFont="1" applyAlignment="1"/>
    <xf numFmtId="182" fontId="25" fillId="0" borderId="0" xfId="0" applyNumberFormat="1" applyFont="1" applyAlignment="1"/>
    <xf numFmtId="0" fontId="60" fillId="0" borderId="0" xfId="0" applyFont="1" applyAlignment="1"/>
    <xf numFmtId="182" fontId="60" fillId="0" borderId="0" xfId="0" applyNumberFormat="1" applyFont="1" applyAlignment="1"/>
    <xf numFmtId="0" fontId="61" fillId="3" borderId="0" xfId="12" applyFont="1" applyFill="1"/>
    <xf numFmtId="0" fontId="61" fillId="0" borderId="0" xfId="12" applyFont="1"/>
    <xf numFmtId="0" fontId="61" fillId="6" borderId="0" xfId="12" applyFont="1" applyFill="1"/>
    <xf numFmtId="0" fontId="61" fillId="16" borderId="0" xfId="12" applyFont="1" applyFill="1"/>
    <xf numFmtId="0" fontId="53" fillId="0" borderId="0" xfId="12" applyFont="1"/>
    <xf numFmtId="0" fontId="62" fillId="0" borderId="1" xfId="12" applyFont="1" applyBorder="1" applyAlignment="1">
      <alignment horizontal="center" vertical="center" wrapText="1"/>
    </xf>
    <xf numFmtId="43" fontId="63" fillId="3" borderId="1" xfId="13" applyNumberFormat="1" applyFont="1" applyFill="1" applyBorder="1" applyAlignment="1">
      <alignment horizontal="right" vertical="center" wrapText="1"/>
    </xf>
    <xf numFmtId="10" fontId="63" fillId="16" borderId="1" xfId="12" applyNumberFormat="1" applyFont="1" applyFill="1" applyBorder="1" applyAlignment="1">
      <alignment horizontal="right" vertical="center" wrapText="1"/>
    </xf>
    <xf numFmtId="0" fontId="53" fillId="0" borderId="1" xfId="12" applyFont="1" applyBorder="1"/>
    <xf numFmtId="43" fontId="21" fillId="6" borderId="1" xfId="13" applyFont="1" applyFill="1" applyBorder="1" applyAlignment="1"/>
    <xf numFmtId="43" fontId="63" fillId="16" borderId="1" xfId="13" applyNumberFormat="1" applyFont="1" applyFill="1" applyBorder="1" applyAlignment="1">
      <alignment horizontal="right" vertical="center" wrapText="1"/>
    </xf>
    <xf numFmtId="10" fontId="63" fillId="6" borderId="1" xfId="12" applyNumberFormat="1" applyFont="1" applyFill="1" applyBorder="1" applyAlignment="1">
      <alignment horizontal="right" vertical="center" wrapText="1"/>
    </xf>
    <xf numFmtId="43" fontId="21" fillId="16" borderId="1" xfId="13" applyFont="1" applyFill="1" applyBorder="1" applyAlignment="1"/>
    <xf numFmtId="43" fontId="62" fillId="0" borderId="1" xfId="13" applyNumberFormat="1" applyFont="1" applyBorder="1" applyAlignment="1">
      <alignment horizontal="right" vertical="center" wrapText="1"/>
    </xf>
    <xf numFmtId="10" fontId="63" fillId="0" borderId="1" xfId="12" applyNumberFormat="1" applyFont="1" applyBorder="1" applyAlignment="1">
      <alignment horizontal="right" vertical="center" wrapText="1"/>
    </xf>
    <xf numFmtId="43" fontId="62" fillId="0" borderId="1" xfId="13" applyNumberFormat="1" applyFont="1" applyFill="1" applyBorder="1" applyAlignment="1">
      <alignment horizontal="right" vertical="center" wrapText="1"/>
    </xf>
    <xf numFmtId="9" fontId="63" fillId="0" borderId="1" xfId="12" applyNumberFormat="1" applyFont="1" applyFill="1" applyBorder="1" applyAlignment="1">
      <alignment horizontal="right" vertical="center" wrapText="1"/>
    </xf>
    <xf numFmtId="187" fontId="21" fillId="0" borderId="0" xfId="14" applyNumberFormat="1" applyFont="1" applyAlignment="1"/>
    <xf numFmtId="9" fontId="61" fillId="0" borderId="0" xfId="12" applyNumberFormat="1" applyFont="1"/>
    <xf numFmtId="9" fontId="53" fillId="6" borderId="0" xfId="12" applyNumberFormat="1" applyFont="1" applyFill="1"/>
    <xf numFmtId="10" fontId="53" fillId="6" borderId="0" xfId="1" applyNumberFormat="1" applyFont="1" applyFill="1" applyAlignment="1"/>
    <xf numFmtId="0" fontId="26" fillId="0" borderId="0" xfId="12" applyFont="1"/>
    <xf numFmtId="189" fontId="26" fillId="0" borderId="0" xfId="13" applyNumberFormat="1" applyFont="1" applyAlignment="1"/>
    <xf numFmtId="0" fontId="53" fillId="0" borderId="6" xfId="12" applyFont="1" applyBorder="1"/>
    <xf numFmtId="182" fontId="26" fillId="6" borderId="28" xfId="13" applyNumberFormat="1" applyFont="1" applyFill="1" applyBorder="1" applyAlignment="1"/>
    <xf numFmtId="0" fontId="26" fillId="0" borderId="29" xfId="12" applyFont="1" applyBorder="1"/>
    <xf numFmtId="0" fontId="26" fillId="0" borderId="30" xfId="12" applyFont="1" applyBorder="1"/>
    <xf numFmtId="0" fontId="53" fillId="0" borderId="5" xfId="12" applyFont="1" applyBorder="1"/>
    <xf numFmtId="182" fontId="26" fillId="0" borderId="1" xfId="13" applyNumberFormat="1" applyFont="1" applyBorder="1" applyAlignment="1"/>
    <xf numFmtId="0" fontId="26" fillId="0" borderId="0" xfId="12" applyFont="1" applyBorder="1"/>
    <xf numFmtId="43" fontId="26" fillId="0" borderId="0" xfId="12" applyNumberFormat="1" applyFont="1" applyBorder="1"/>
    <xf numFmtId="0" fontId="26" fillId="0" borderId="31" xfId="12" applyFont="1" applyBorder="1"/>
    <xf numFmtId="0" fontId="26" fillId="0" borderId="6" xfId="12" applyFont="1" applyBorder="1"/>
    <xf numFmtId="0" fontId="26" fillId="0" borderId="28" xfId="12" applyFont="1" applyBorder="1"/>
    <xf numFmtId="0" fontId="26" fillId="0" borderId="7" xfId="12" applyFont="1" applyBorder="1"/>
    <xf numFmtId="43" fontId="26" fillId="0" borderId="1" xfId="13" applyNumberFormat="1" applyFont="1" applyBorder="1" applyAlignment="1"/>
    <xf numFmtId="0" fontId="26" fillId="0" borderId="5" xfId="12" applyFont="1" applyBorder="1"/>
    <xf numFmtId="182" fontId="26" fillId="0" borderId="1" xfId="12" applyNumberFormat="1" applyFont="1" applyBorder="1"/>
    <xf numFmtId="10" fontId="26" fillId="0" borderId="8" xfId="14" applyNumberFormat="1" applyFont="1" applyBorder="1" applyAlignment="1"/>
    <xf numFmtId="0" fontId="26" fillId="0" borderId="32" xfId="12" applyFont="1" applyBorder="1"/>
    <xf numFmtId="43" fontId="26" fillId="0" borderId="0" xfId="13" applyNumberFormat="1" applyFont="1" applyBorder="1" applyAlignment="1"/>
    <xf numFmtId="0" fontId="26" fillId="0" borderId="9" xfId="12" applyFont="1" applyBorder="1"/>
    <xf numFmtId="182" fontId="26" fillId="0" borderId="18" xfId="12" applyNumberFormat="1" applyFont="1" applyBorder="1"/>
    <xf numFmtId="10" fontId="26" fillId="0" borderId="10" xfId="14" applyNumberFormat="1" applyFont="1" applyBorder="1" applyAlignment="1"/>
    <xf numFmtId="43" fontId="53" fillId="0" borderId="1" xfId="13" applyNumberFormat="1" applyFont="1" applyBorder="1" applyAlignment="1">
      <alignment horizontal="center"/>
    </xf>
    <xf numFmtId="0" fontId="53" fillId="0" borderId="1" xfId="12" applyFont="1" applyBorder="1" applyAlignment="1">
      <alignment horizontal="center"/>
    </xf>
    <xf numFmtId="0" fontId="53" fillId="0" borderId="12" xfId="12" applyFont="1" applyBorder="1" applyAlignment="1">
      <alignment horizontal="center"/>
    </xf>
    <xf numFmtId="0" fontId="53" fillId="0" borderId="8" xfId="12" applyFont="1" applyBorder="1"/>
    <xf numFmtId="0" fontId="53" fillId="2" borderId="5" xfId="12" applyFont="1" applyFill="1" applyBorder="1" applyAlignment="1">
      <alignment horizontal="center"/>
    </xf>
    <xf numFmtId="10" fontId="26" fillId="6" borderId="1" xfId="14" applyNumberFormat="1" applyFont="1" applyFill="1" applyBorder="1" applyAlignment="1"/>
    <xf numFmtId="10" fontId="26" fillId="0" borderId="1" xfId="14" applyNumberFormat="1" applyFont="1" applyBorder="1" applyAlignment="1"/>
    <xf numFmtId="43" fontId="26" fillId="0" borderId="8" xfId="13" applyNumberFormat="1" applyFont="1" applyBorder="1" applyAlignment="1"/>
    <xf numFmtId="0" fontId="53" fillId="17" borderId="5" xfId="12" applyFont="1" applyFill="1" applyBorder="1" applyAlignment="1">
      <alignment horizontal="center"/>
    </xf>
    <xf numFmtId="43" fontId="26" fillId="0" borderId="8" xfId="13" applyFont="1" applyBorder="1" applyAlignment="1"/>
    <xf numFmtId="0" fontId="26" fillId="0" borderId="1" xfId="12" applyFont="1" applyBorder="1"/>
    <xf numFmtId="9" fontId="26" fillId="0" borderId="8" xfId="12" applyNumberFormat="1" applyFont="1" applyBorder="1"/>
    <xf numFmtId="10" fontId="26" fillId="0" borderId="10" xfId="12" applyNumberFormat="1" applyFont="1" applyBorder="1"/>
    <xf numFmtId="10" fontId="26" fillId="16" borderId="1" xfId="14" applyNumberFormat="1" applyFont="1" applyFill="1" applyBorder="1" applyAlignment="1"/>
    <xf numFmtId="10" fontId="26" fillId="0" borderId="8" xfId="12" applyNumberFormat="1" applyFont="1" applyBorder="1"/>
    <xf numFmtId="0" fontId="53" fillId="0" borderId="9" xfId="12" applyFont="1" applyBorder="1"/>
    <xf numFmtId="182" fontId="53" fillId="16" borderId="18" xfId="12" applyNumberFormat="1" applyFont="1" applyFill="1" applyBorder="1"/>
    <xf numFmtId="0" fontId="26" fillId="0" borderId="33" xfId="12" applyFont="1" applyBorder="1"/>
    <xf numFmtId="0" fontId="26" fillId="0" borderId="34" xfId="12" applyFont="1" applyBorder="1"/>
    <xf numFmtId="0" fontId="26" fillId="0" borderId="0" xfId="12" applyFont="1" applyAlignment="1">
      <alignment horizontal="center"/>
    </xf>
    <xf numFmtId="10" fontId="26" fillId="0" borderId="0" xfId="14" applyNumberFormat="1" applyFont="1" applyAlignment="1"/>
    <xf numFmtId="182" fontId="26" fillId="6" borderId="1" xfId="12" applyNumberFormat="1" applyFont="1" applyFill="1" applyBorder="1"/>
    <xf numFmtId="0" fontId="28" fillId="9" borderId="1" xfId="0" applyFont="1" applyFill="1" applyBorder="1" applyAlignment="1">
      <alignment horizontal="center" vertical="center"/>
    </xf>
    <xf numFmtId="179" fontId="29" fillId="8" borderId="1" xfId="0" applyNumberFormat="1" applyFont="1" applyFill="1" applyBorder="1" applyAlignment="1">
      <alignment horizontal="center" vertical="center" wrapText="1"/>
    </xf>
    <xf numFmtId="179" fontId="29" fillId="8" borderId="1" xfId="0" applyNumberFormat="1" applyFont="1" applyFill="1" applyBorder="1" applyAlignment="1">
      <alignment horizontal="center" vertical="center"/>
    </xf>
    <xf numFmtId="182" fontId="29" fillId="8" borderId="1" xfId="2" applyNumberFormat="1" applyFont="1" applyFill="1" applyBorder="1" applyAlignment="1">
      <alignment horizontal="center" vertical="center" wrapText="1"/>
    </xf>
    <xf numFmtId="182" fontId="29" fillId="8" borderId="1" xfId="2" applyNumberFormat="1" applyFont="1" applyFill="1" applyBorder="1" applyAlignment="1">
      <alignment horizontal="center" vertical="center"/>
    </xf>
    <xf numFmtId="0" fontId="31" fillId="9" borderId="11"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31" fillId="9" borderId="21" xfId="0" applyFont="1" applyFill="1" applyBorder="1" applyAlignment="1">
      <alignment horizontal="center" vertical="center" wrapText="1"/>
    </xf>
    <xf numFmtId="0" fontId="49" fillId="0" borderId="0" xfId="0" applyFont="1" applyAlignment="1">
      <alignment horizontal="left" vertical="top" wrapText="1"/>
    </xf>
    <xf numFmtId="0" fontId="48" fillId="0" borderId="0" xfId="0" applyFont="1" applyAlignment="1">
      <alignment horizontal="left" vertical="top" wrapText="1"/>
    </xf>
    <xf numFmtId="0" fontId="44" fillId="13" borderId="15" xfId="0" applyFont="1" applyFill="1" applyBorder="1" applyAlignment="1">
      <alignment horizontal="center"/>
    </xf>
    <xf numFmtId="0" fontId="44" fillId="13" borderId="16" xfId="0" applyFont="1" applyFill="1" applyBorder="1" applyAlignment="1">
      <alignment horizontal="center"/>
    </xf>
    <xf numFmtId="0" fontId="44" fillId="13" borderId="17" xfId="0" applyFont="1" applyFill="1" applyBorder="1" applyAlignment="1">
      <alignment horizontal="center"/>
    </xf>
    <xf numFmtId="0" fontId="44" fillId="14" borderId="15" xfId="0" applyFont="1" applyFill="1" applyBorder="1" applyAlignment="1">
      <alignment horizontal="center"/>
    </xf>
    <xf numFmtId="0" fontId="44" fillId="14" borderId="17" xfId="0" applyFont="1" applyFill="1" applyBorder="1" applyAlignment="1">
      <alignment horizontal="center"/>
    </xf>
    <xf numFmtId="0" fontId="44" fillId="4" borderId="15" xfId="0" applyFont="1" applyFill="1" applyBorder="1" applyAlignment="1">
      <alignment horizontal="center"/>
    </xf>
    <xf numFmtId="0" fontId="44" fillId="4" borderId="16" xfId="0" applyFont="1" applyFill="1" applyBorder="1" applyAlignment="1">
      <alignment horizontal="center"/>
    </xf>
    <xf numFmtId="0" fontId="44" fillId="4" borderId="17" xfId="0" applyFont="1" applyFill="1" applyBorder="1" applyAlignment="1">
      <alignment horizontal="center"/>
    </xf>
    <xf numFmtId="0" fontId="15" fillId="12" borderId="1" xfId="0" applyFont="1" applyFill="1" applyBorder="1" applyAlignment="1">
      <alignment horizontal="center" vertical="center"/>
    </xf>
    <xf numFmtId="0" fontId="15" fillId="9" borderId="1" xfId="0" applyFont="1" applyFill="1" applyBorder="1" applyAlignment="1">
      <alignment horizontal="center" vertical="center"/>
    </xf>
    <xf numFmtId="0" fontId="15" fillId="11" borderId="1" xfId="0" applyFont="1" applyFill="1" applyBorder="1" applyAlignment="1">
      <alignment horizontal="center" vertical="center"/>
    </xf>
    <xf numFmtId="0" fontId="16" fillId="9" borderId="23" xfId="0" applyFont="1" applyFill="1" applyBorder="1" applyAlignment="1">
      <alignment horizontal="center"/>
    </xf>
    <xf numFmtId="0" fontId="16" fillId="9" borderId="16" xfId="0" applyFont="1" applyFill="1" applyBorder="1" applyAlignment="1">
      <alignment horizontal="center"/>
    </xf>
    <xf numFmtId="0" fontId="16" fillId="9" borderId="17" xfId="0" applyFont="1" applyFill="1" applyBorder="1" applyAlignment="1">
      <alignment horizontal="center"/>
    </xf>
    <xf numFmtId="0" fontId="16" fillId="9" borderId="15" xfId="0" applyFont="1" applyFill="1" applyBorder="1" applyAlignment="1">
      <alignment horizontal="center"/>
    </xf>
    <xf numFmtId="0" fontId="16" fillId="9" borderId="2" xfId="4" applyFont="1" applyFill="1" applyBorder="1" applyAlignment="1">
      <alignment horizontal="left" wrapText="1"/>
    </xf>
    <xf numFmtId="0" fontId="16" fillId="9" borderId="4" xfId="4" applyFont="1" applyFill="1" applyBorder="1" applyAlignment="1">
      <alignment horizontal="left" wrapText="1"/>
    </xf>
    <xf numFmtId="0" fontId="15" fillId="10" borderId="2" xfId="4" applyFont="1" applyFill="1" applyBorder="1" applyAlignment="1">
      <alignment horizontal="center" vertical="center"/>
    </xf>
    <xf numFmtId="0" fontId="15" fillId="10" borderId="4" xfId="4" applyFont="1" applyFill="1" applyBorder="1" applyAlignment="1">
      <alignment horizontal="center" vertical="center"/>
    </xf>
    <xf numFmtId="0" fontId="15" fillId="10" borderId="11" xfId="4" applyFont="1" applyFill="1" applyBorder="1" applyAlignment="1">
      <alignment horizontal="center" vertical="center"/>
    </xf>
    <xf numFmtId="0" fontId="15" fillId="10" borderId="12" xfId="4" applyFont="1" applyFill="1" applyBorder="1" applyAlignment="1">
      <alignment horizontal="center" vertical="center"/>
    </xf>
    <xf numFmtId="0" fontId="15" fillId="10" borderId="14" xfId="4" applyFont="1" applyFill="1" applyBorder="1" applyAlignment="1">
      <alignment horizontal="center" vertical="center"/>
    </xf>
    <xf numFmtId="0" fontId="16" fillId="9" borderId="2" xfId="4" applyFont="1" applyFill="1" applyBorder="1" applyAlignment="1">
      <alignment horizontal="center"/>
    </xf>
    <xf numFmtId="0" fontId="16" fillId="9" borderId="3" xfId="4" applyFont="1" applyFill="1" applyBorder="1" applyAlignment="1">
      <alignment horizontal="center"/>
    </xf>
    <xf numFmtId="0" fontId="16" fillId="9" borderId="4" xfId="4" applyFont="1" applyFill="1" applyBorder="1" applyAlignment="1">
      <alignment horizontal="center"/>
    </xf>
    <xf numFmtId="0" fontId="8" fillId="8" borderId="11"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2" xfId="0" applyFont="1" applyFill="1" applyBorder="1" applyAlignment="1">
      <alignment horizontal="center" vertical="center" wrapText="1"/>
    </xf>
    <xf numFmtId="43" fontId="8" fillId="8" borderId="20" xfId="0" applyNumberFormat="1" applyFont="1" applyFill="1" applyBorder="1" applyAlignment="1">
      <alignment horizontal="center" vertical="center"/>
    </xf>
    <xf numFmtId="0" fontId="8" fillId="8" borderId="21" xfId="0" applyFont="1" applyFill="1" applyBorder="1" applyAlignment="1">
      <alignment horizontal="center" vertical="center"/>
    </xf>
    <xf numFmtId="0" fontId="8" fillId="8" borderId="22"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20" xfId="0" applyFont="1" applyFill="1" applyBorder="1" applyAlignment="1">
      <alignment horizontal="center" vertical="center"/>
    </xf>
    <xf numFmtId="4" fontId="14" fillId="8" borderId="2" xfId="0" applyNumberFormat="1" applyFont="1" applyFill="1" applyBorder="1" applyAlignment="1">
      <alignment horizontal="center" vertical="center"/>
    </xf>
    <xf numFmtId="4" fontId="14" fillId="8" borderId="3" xfId="0" applyNumberFormat="1" applyFont="1" applyFill="1" applyBorder="1" applyAlignment="1">
      <alignment horizontal="center" vertical="center"/>
    </xf>
    <xf numFmtId="4" fontId="14" fillId="8" borderId="4" xfId="0" applyNumberFormat="1" applyFont="1" applyFill="1" applyBorder="1" applyAlignment="1">
      <alignment horizontal="center" vertical="center"/>
    </xf>
    <xf numFmtId="43" fontId="43" fillId="8" borderId="11" xfId="2" applyFont="1" applyFill="1" applyBorder="1" applyAlignment="1">
      <alignment horizontal="center" vertical="center" wrapText="1"/>
    </xf>
    <xf numFmtId="43" fontId="43" fillId="8" borderId="14" xfId="2" applyFont="1" applyFill="1" applyBorder="1" applyAlignment="1">
      <alignment horizontal="center" vertical="center"/>
    </xf>
    <xf numFmtId="43" fontId="34" fillId="8" borderId="11" xfId="2" applyFont="1" applyFill="1" applyBorder="1" applyAlignment="1">
      <alignment horizontal="center" vertical="center" wrapText="1"/>
    </xf>
    <xf numFmtId="43" fontId="34" fillId="8" borderId="14" xfId="2" applyFont="1" applyFill="1" applyBorder="1" applyAlignment="1">
      <alignment horizontal="center" vertical="center" wrapText="1"/>
    </xf>
    <xf numFmtId="43" fontId="14" fillId="8" borderId="11" xfId="2" applyFont="1" applyFill="1" applyBorder="1" applyAlignment="1">
      <alignment horizontal="center" vertical="center" wrapText="1"/>
    </xf>
    <xf numFmtId="43" fontId="14" fillId="8" borderId="14" xfId="2" applyFont="1" applyFill="1" applyBorder="1" applyAlignment="1">
      <alignment horizontal="center" vertical="center"/>
    </xf>
    <xf numFmtId="43" fontId="45" fillId="8" borderId="11" xfId="2" applyFont="1" applyFill="1" applyBorder="1" applyAlignment="1">
      <alignment horizontal="center" vertical="center"/>
    </xf>
    <xf numFmtId="43" fontId="45" fillId="8" borderId="14" xfId="2" applyFont="1" applyFill="1" applyBorder="1" applyAlignment="1">
      <alignment horizontal="center" vertical="center"/>
    </xf>
    <xf numFmtId="43" fontId="45" fillId="8" borderId="12" xfId="2" applyFont="1" applyFill="1" applyBorder="1" applyAlignment="1">
      <alignment horizontal="center" vertical="center"/>
    </xf>
    <xf numFmtId="0" fontId="58" fillId="9" borderId="2" xfId="0" applyFont="1" applyFill="1" applyBorder="1" applyAlignment="1">
      <alignment horizontal="center"/>
    </xf>
    <xf numFmtId="0" fontId="58" fillId="9" borderId="4" xfId="0" applyFont="1" applyFill="1" applyBorder="1" applyAlignment="1">
      <alignment horizontal="center"/>
    </xf>
    <xf numFmtId="0" fontId="58" fillId="9" borderId="11"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27" xfId="0" applyFont="1" applyFill="1" applyBorder="1" applyAlignment="1">
      <alignment horizontal="center"/>
    </xf>
    <xf numFmtId="0" fontId="58" fillId="9" borderId="0" xfId="0" applyFont="1" applyFill="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178" fontId="12" fillId="4" borderId="2" xfId="0" applyNumberFormat="1" applyFont="1" applyFill="1" applyBorder="1" applyAlignment="1">
      <alignment horizontal="center" vertical="center" wrapText="1"/>
    </xf>
    <xf numFmtId="178" fontId="12" fillId="4" borderId="3" xfId="0" applyNumberFormat="1" applyFont="1" applyFill="1" applyBorder="1" applyAlignment="1">
      <alignment horizontal="center" vertical="center" wrapText="1"/>
    </xf>
    <xf numFmtId="178" fontId="12" fillId="4" borderId="4" xfId="0" applyNumberFormat="1" applyFont="1" applyFill="1" applyBorder="1" applyAlignment="1">
      <alignment horizontal="center" vertical="center" wrapText="1"/>
    </xf>
    <xf numFmtId="178" fontId="12" fillId="5" borderId="11" xfId="0" applyNumberFormat="1" applyFont="1" applyFill="1" applyBorder="1" applyAlignment="1">
      <alignment horizontal="center" vertical="center" wrapText="1"/>
    </xf>
    <xf numFmtId="178" fontId="12" fillId="5" borderId="12" xfId="0" applyNumberFormat="1" applyFont="1" applyFill="1" applyBorder="1" applyAlignment="1">
      <alignment horizontal="center" vertical="center" wrapText="1"/>
    </xf>
    <xf numFmtId="178" fontId="12" fillId="2" borderId="2" xfId="0" applyNumberFormat="1" applyFont="1" applyFill="1" applyBorder="1" applyAlignment="1">
      <alignment horizontal="center" vertical="center" wrapText="1"/>
    </xf>
    <xf numFmtId="178" fontId="12" fillId="2" borderId="3" xfId="0" applyNumberFormat="1" applyFont="1" applyFill="1" applyBorder="1" applyAlignment="1">
      <alignment horizontal="center" vertical="center" wrapText="1"/>
    </xf>
    <xf numFmtId="178" fontId="12" fillId="2" borderId="4" xfId="0" applyNumberFormat="1" applyFont="1" applyFill="1" applyBorder="1" applyAlignment="1">
      <alignment horizontal="center" vertical="center" wrapText="1"/>
    </xf>
    <xf numFmtId="0" fontId="53" fillId="0" borderId="1" xfId="12" applyFont="1" applyBorder="1" applyAlignment="1">
      <alignment horizontal="center"/>
    </xf>
    <xf numFmtId="0" fontId="53" fillId="0" borderId="2" xfId="12" applyFont="1" applyBorder="1" applyAlignment="1">
      <alignment horizontal="center"/>
    </xf>
    <xf numFmtId="0" fontId="53" fillId="0" borderId="4" xfId="12" applyFont="1" applyBorder="1" applyAlignment="1">
      <alignment horizontal="center"/>
    </xf>
    <xf numFmtId="0" fontId="53" fillId="0" borderId="8" xfId="12" applyFont="1" applyBorder="1" applyAlignment="1">
      <alignment horizontal="center"/>
    </xf>
  </cellXfs>
  <cellStyles count="15">
    <cellStyle name="百分比" xfId="1" builtinId="5"/>
    <cellStyle name="百分比 2" xfId="6"/>
    <cellStyle name="百分比 3" xfId="8"/>
    <cellStyle name="百分比 4" xfId="14"/>
    <cellStyle name="常规" xfId="0" builtinId="0"/>
    <cellStyle name="常规 2" xfId="3"/>
    <cellStyle name="常规 3" xfId="4"/>
    <cellStyle name="常规 4" xfId="7"/>
    <cellStyle name="常规 5" xfId="9"/>
    <cellStyle name="常规 6" xfId="11"/>
    <cellStyle name="常规 7" xfId="12"/>
    <cellStyle name="千位分隔" xfId="2" builtinId="3"/>
    <cellStyle name="千位分隔 2" xfId="5"/>
    <cellStyle name="千位分隔 3" xfId="10"/>
    <cellStyle name="千位分隔 4" xfId="13"/>
  </cellStyles>
  <dxfs count="0"/>
  <tableStyles count="0" defaultTableStyle="TableStyleMedium2" defaultPivotStyle="PivotStyleLight16"/>
  <colors>
    <mruColors>
      <color rgb="FFFFF9D9"/>
      <color rgb="FF376A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五种用户类型分析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'3. 互联网企业用户行为分析'!$B$167</c:f>
              <c:strCache>
                <c:ptCount val="1"/>
                <c:pt idx="0">
                  <c:v> 新增用户数</c:v>
                </c:pt>
              </c:strCache>
            </c:strRef>
          </c:tx>
          <c:spPr>
            <a:solidFill>
              <a:schemeClr val="accent1"/>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互联网企业用户行为分析'!$C$167:$N$167</c:f>
              <c:numCache>
                <c:formatCode>_ * #,##0_ ;_ * \-#,##0_ ;_ * "-"??_ ;_ @_ </c:formatCode>
                <c:ptCount val="12"/>
                <c:pt idx="0">
                  <c:v>50</c:v>
                </c:pt>
                <c:pt idx="1">
                  <c:v>60</c:v>
                </c:pt>
                <c:pt idx="2">
                  <c:v>70</c:v>
                </c:pt>
                <c:pt idx="3">
                  <c:v>80</c:v>
                </c:pt>
                <c:pt idx="4">
                  <c:v>90</c:v>
                </c:pt>
                <c:pt idx="5">
                  <c:v>100</c:v>
                </c:pt>
                <c:pt idx="6">
                  <c:v>110</c:v>
                </c:pt>
                <c:pt idx="7">
                  <c:v>120</c:v>
                </c:pt>
                <c:pt idx="8">
                  <c:v>130</c:v>
                </c:pt>
                <c:pt idx="9">
                  <c:v>140</c:v>
                </c:pt>
                <c:pt idx="10">
                  <c:v>150</c:v>
                </c:pt>
                <c:pt idx="11">
                  <c:v>160</c:v>
                </c:pt>
              </c:numCache>
            </c:numRef>
          </c:val>
          <c:extLst>
            <c:ext xmlns:c16="http://schemas.microsoft.com/office/drawing/2014/chart" uri="{C3380CC4-5D6E-409C-BE32-E72D297353CC}">
              <c16:uniqueId val="{00000000-13A0-47A4-B083-E7E1BCC5E3DD}"/>
            </c:ext>
          </c:extLst>
        </c:ser>
        <c:ser>
          <c:idx val="1"/>
          <c:order val="1"/>
          <c:tx>
            <c:strRef>
              <c:f>'3. 互联网企业用户行为分析'!$B$168</c:f>
              <c:strCache>
                <c:ptCount val="1"/>
                <c:pt idx="0">
                  <c:v> 活跃用户数</c:v>
                </c:pt>
              </c:strCache>
            </c:strRef>
          </c:tx>
          <c:spPr>
            <a:solidFill>
              <a:schemeClr val="accent2"/>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互联网企业用户行为分析'!$C$168:$N$168</c:f>
              <c:numCache>
                <c:formatCode>_ * #,##0_ ;_ * \-#,##0_ ;_ * "-"??_ ;_ @_ </c:formatCode>
                <c:ptCount val="12"/>
                <c:pt idx="1">
                  <c:v>20</c:v>
                </c:pt>
                <c:pt idx="2">
                  <c:v>22</c:v>
                </c:pt>
                <c:pt idx="3">
                  <c:v>24</c:v>
                </c:pt>
                <c:pt idx="4">
                  <c:v>26</c:v>
                </c:pt>
                <c:pt idx="5">
                  <c:v>28</c:v>
                </c:pt>
                <c:pt idx="6">
                  <c:v>30</c:v>
                </c:pt>
                <c:pt idx="7">
                  <c:v>32</c:v>
                </c:pt>
                <c:pt idx="8">
                  <c:v>34</c:v>
                </c:pt>
                <c:pt idx="9">
                  <c:v>36</c:v>
                </c:pt>
                <c:pt idx="10">
                  <c:v>38</c:v>
                </c:pt>
                <c:pt idx="11">
                  <c:v>40</c:v>
                </c:pt>
              </c:numCache>
            </c:numRef>
          </c:val>
          <c:extLst>
            <c:ext xmlns:c16="http://schemas.microsoft.com/office/drawing/2014/chart" uri="{C3380CC4-5D6E-409C-BE32-E72D297353CC}">
              <c16:uniqueId val="{00000001-13A0-47A4-B083-E7E1BCC5E3DD}"/>
            </c:ext>
          </c:extLst>
        </c:ser>
        <c:ser>
          <c:idx val="2"/>
          <c:order val="2"/>
          <c:tx>
            <c:strRef>
              <c:f>'3. 互联网企业用户行为分析'!$B$169</c:f>
              <c:strCache>
                <c:ptCount val="1"/>
                <c:pt idx="0">
                  <c:v> 回流用户数</c:v>
                </c:pt>
              </c:strCache>
            </c:strRef>
          </c:tx>
          <c:spPr>
            <a:solidFill>
              <a:schemeClr val="accent3"/>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互联网企业用户行为分析'!$C$169:$N$169</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2-13A0-47A4-B083-E7E1BCC5E3DD}"/>
            </c:ext>
          </c:extLst>
        </c:ser>
        <c:ser>
          <c:idx val="3"/>
          <c:order val="3"/>
          <c:tx>
            <c:strRef>
              <c:f>'3. 互联网企业用户行为分析'!$B$170</c:f>
              <c:strCache>
                <c:ptCount val="1"/>
                <c:pt idx="0">
                  <c:v> 不活跃用户数</c:v>
                </c:pt>
              </c:strCache>
            </c:strRef>
          </c:tx>
          <c:spPr>
            <a:solidFill>
              <a:schemeClr val="accent4"/>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互联网企业用户行为分析'!$C$170:$N$170</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3-13A0-47A4-B083-E7E1BCC5E3DD}"/>
            </c:ext>
          </c:extLst>
        </c:ser>
        <c:ser>
          <c:idx val="4"/>
          <c:order val="4"/>
          <c:tx>
            <c:strRef>
              <c:f>'3. 互联网企业用户行为分析'!$B$171</c:f>
              <c:strCache>
                <c:ptCount val="1"/>
                <c:pt idx="0">
                  <c:v> 流失用户数</c:v>
                </c:pt>
              </c:strCache>
            </c:strRef>
          </c:tx>
          <c:spPr>
            <a:solidFill>
              <a:schemeClr val="accent5"/>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互联网企业用户行为分析'!$C$171:$N$171</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4-13A0-47A4-B083-E7E1BCC5E3DD}"/>
            </c:ext>
          </c:extLst>
        </c:ser>
        <c:dLbls>
          <c:showLegendKey val="0"/>
          <c:showVal val="0"/>
          <c:showCatName val="0"/>
          <c:showSerName val="0"/>
          <c:showPercent val="0"/>
          <c:showBubbleSize val="0"/>
        </c:dLbls>
        <c:gapWidth val="150"/>
        <c:overlap val="100"/>
        <c:axId val="881964352"/>
        <c:axId val="881964680"/>
      </c:barChart>
      <c:catAx>
        <c:axId val="8819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1964680"/>
        <c:crosses val="autoZero"/>
        <c:auto val="1"/>
        <c:lblAlgn val="ctr"/>
        <c:lblOffset val="100"/>
        <c:noMultiLvlLbl val="0"/>
      </c:catAx>
      <c:valAx>
        <c:axId val="88196468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196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客户流量来源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'3. 互联网企业用户行为分析'!$O$248</c:f>
              <c:strCache>
                <c:ptCount val="1"/>
                <c:pt idx="0">
                  <c:v>累计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38-4C33-B267-B6E17D8021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38-4C33-B267-B6E17D8021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38-4C33-B267-B6E17D8021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38-4C33-B267-B6E17D8021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38-4C33-B267-B6E17D8021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互联网企业用户行为分析'!$B$249:$B$253</c:f>
              <c:strCache>
                <c:ptCount val="5"/>
                <c:pt idx="0">
                  <c:v>付费广告（成本中心）</c:v>
                </c:pt>
                <c:pt idx="1">
                  <c:v>SEO优化</c:v>
                </c:pt>
                <c:pt idx="2">
                  <c:v>社交网络</c:v>
                </c:pt>
                <c:pt idx="3">
                  <c:v>朋友口碑推荐（高价值流量）</c:v>
                </c:pt>
                <c:pt idx="4">
                  <c:v>直接访问（高价值流量）</c:v>
                </c:pt>
              </c:strCache>
            </c:strRef>
          </c:cat>
          <c:val>
            <c:numRef>
              <c:f>'3. 互联网企业用户行为分析'!$O$249:$O$253</c:f>
              <c:numCache>
                <c:formatCode>_ * #,##0_ ;_ * \-#,##0_ ;_ * "-"??_ ;_ @_ </c:formatCode>
                <c:ptCount val="5"/>
                <c:pt idx="0">
                  <c:v>4260</c:v>
                </c:pt>
                <c:pt idx="1">
                  <c:v>3060</c:v>
                </c:pt>
                <c:pt idx="2">
                  <c:v>798</c:v>
                </c:pt>
                <c:pt idx="3">
                  <c:v>2520</c:v>
                </c:pt>
                <c:pt idx="4">
                  <c:v>1860</c:v>
                </c:pt>
              </c:numCache>
            </c:numRef>
          </c:val>
          <c:extLst>
            <c:ext xmlns:c16="http://schemas.microsoft.com/office/drawing/2014/chart" uri="{C3380CC4-5D6E-409C-BE32-E72D297353CC}">
              <c16:uniqueId val="{00000000-544F-499C-A91F-0CD73E4EE8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en-US" altLang="zh-CN"/>
              <a:t>+GMW</a:t>
            </a:r>
            <a:r>
              <a:rPr lang="zh-CN" altLang="en-US"/>
              <a:t>指标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互联网企业用户行为分析'!$B$25</c:f>
              <c:strCache>
                <c:ptCount val="1"/>
                <c:pt idx="0">
                  <c:v>GMW </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互联网企业用户行为分析'!$C$25:$N$25</c:f>
              <c:numCache>
                <c:formatCode>_ * #,##0_ ;_ * \-#,##0_ ;_ * "-"??_ ;_ @_ </c:formatCode>
                <c:ptCount val="12"/>
                <c:pt idx="0">
                  <c:v>10000</c:v>
                </c:pt>
                <c:pt idx="1">
                  <c:v>12000</c:v>
                </c:pt>
                <c:pt idx="2">
                  <c:v>14000</c:v>
                </c:pt>
                <c:pt idx="3">
                  <c:v>16000</c:v>
                </c:pt>
                <c:pt idx="4">
                  <c:v>18000</c:v>
                </c:pt>
                <c:pt idx="5">
                  <c:v>20000</c:v>
                </c:pt>
                <c:pt idx="6">
                  <c:v>22000</c:v>
                </c:pt>
                <c:pt idx="7">
                  <c:v>24000</c:v>
                </c:pt>
                <c:pt idx="8">
                  <c:v>26000</c:v>
                </c:pt>
                <c:pt idx="9">
                  <c:v>28000</c:v>
                </c:pt>
                <c:pt idx="10">
                  <c:v>30000</c:v>
                </c:pt>
                <c:pt idx="11">
                  <c:v>32000</c:v>
                </c:pt>
              </c:numCache>
            </c:numRef>
          </c:val>
          <c:smooth val="0"/>
          <c:extLst>
            <c:ext xmlns:c16="http://schemas.microsoft.com/office/drawing/2014/chart" uri="{C3380CC4-5D6E-409C-BE32-E72D297353CC}">
              <c16:uniqueId val="{00000000-E8E6-4F19-8D53-C1A90F7E39D1}"/>
            </c:ext>
          </c:extLst>
        </c:ser>
        <c:ser>
          <c:idx val="1"/>
          <c:order val="1"/>
          <c:tx>
            <c:strRef>
              <c:f>'3. 互联网企业用户行为分析'!$B$26</c:f>
              <c:strCache>
                <c:ptCount val="1"/>
                <c:pt idx="0">
                  <c:v>收入</c:v>
                </c:pt>
              </c:strCache>
            </c:strRef>
          </c:tx>
          <c:spPr>
            <a:ln w="28575" cap="rnd">
              <a:solidFill>
                <a:schemeClr val="accent2"/>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互联网企业用户行为分析'!$C$26:$N$26</c:f>
              <c:numCache>
                <c:formatCode>_ * #,##0_ ;_ * \-#,##0_ ;_ * "-"??_ ;_ @_ </c:formatCode>
                <c:ptCount val="12"/>
                <c:pt idx="0">
                  <c:v>8000</c:v>
                </c:pt>
                <c:pt idx="1">
                  <c:v>8200</c:v>
                </c:pt>
                <c:pt idx="2">
                  <c:v>8400</c:v>
                </c:pt>
                <c:pt idx="3">
                  <c:v>8600</c:v>
                </c:pt>
                <c:pt idx="4">
                  <c:v>8800</c:v>
                </c:pt>
                <c:pt idx="5">
                  <c:v>9000</c:v>
                </c:pt>
                <c:pt idx="6">
                  <c:v>9200</c:v>
                </c:pt>
                <c:pt idx="7">
                  <c:v>9400</c:v>
                </c:pt>
                <c:pt idx="8">
                  <c:v>9600</c:v>
                </c:pt>
                <c:pt idx="9">
                  <c:v>9800</c:v>
                </c:pt>
                <c:pt idx="10">
                  <c:v>10000</c:v>
                </c:pt>
                <c:pt idx="11">
                  <c:v>10200</c:v>
                </c:pt>
              </c:numCache>
            </c:numRef>
          </c:val>
          <c:smooth val="0"/>
          <c:extLst>
            <c:ext xmlns:c16="http://schemas.microsoft.com/office/drawing/2014/chart" uri="{C3380CC4-5D6E-409C-BE32-E72D297353CC}">
              <c16:uniqueId val="{00000001-E8E6-4F19-8D53-C1A90F7E39D1}"/>
            </c:ext>
          </c:extLst>
        </c:ser>
        <c:dLbls>
          <c:showLegendKey val="0"/>
          <c:showVal val="0"/>
          <c:showCatName val="0"/>
          <c:showSerName val="0"/>
          <c:showPercent val="0"/>
          <c:showBubbleSize val="0"/>
        </c:dLbls>
        <c:smooth val="0"/>
        <c:axId val="883331144"/>
        <c:axId val="883329832"/>
      </c:lineChart>
      <c:catAx>
        <c:axId val="88333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29832"/>
        <c:crosses val="autoZero"/>
        <c:auto val="1"/>
        <c:lblAlgn val="ctr"/>
        <c:lblOffset val="100"/>
        <c:noMultiLvlLbl val="0"/>
      </c:catAx>
      <c:valAx>
        <c:axId val="88332983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31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互联网企业用户行为分析'!$B$27</c:f>
              <c:strCache>
                <c:ptCount val="1"/>
                <c:pt idx="0">
                  <c:v>货币化率</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互联网企业用户行为分析'!$C$27:$N$27</c:f>
              <c:numCache>
                <c:formatCode>0%</c:formatCode>
                <c:ptCount val="12"/>
                <c:pt idx="0">
                  <c:v>0.8</c:v>
                </c:pt>
                <c:pt idx="1">
                  <c:v>0.68333333333333335</c:v>
                </c:pt>
                <c:pt idx="2">
                  <c:v>0.6</c:v>
                </c:pt>
                <c:pt idx="3">
                  <c:v>0.53749999999999998</c:v>
                </c:pt>
                <c:pt idx="4">
                  <c:v>0.48888888888888887</c:v>
                </c:pt>
                <c:pt idx="5">
                  <c:v>0.45</c:v>
                </c:pt>
                <c:pt idx="6">
                  <c:v>0.41818181818181815</c:v>
                </c:pt>
                <c:pt idx="7">
                  <c:v>0.39166666666666666</c:v>
                </c:pt>
                <c:pt idx="8">
                  <c:v>0.36923076923076925</c:v>
                </c:pt>
                <c:pt idx="9">
                  <c:v>0.35</c:v>
                </c:pt>
                <c:pt idx="10">
                  <c:v>0.33333333333333331</c:v>
                </c:pt>
                <c:pt idx="11">
                  <c:v>0.31874999999999998</c:v>
                </c:pt>
              </c:numCache>
            </c:numRef>
          </c:val>
          <c:smooth val="0"/>
          <c:extLst>
            <c:ext xmlns:c16="http://schemas.microsoft.com/office/drawing/2014/chart" uri="{C3380CC4-5D6E-409C-BE32-E72D297353CC}">
              <c16:uniqueId val="{00000000-5C63-49C0-A869-B6C9FB4D82E7}"/>
            </c:ext>
          </c:extLst>
        </c:ser>
        <c:dLbls>
          <c:showLegendKey val="0"/>
          <c:showVal val="0"/>
          <c:showCatName val="0"/>
          <c:showSerName val="0"/>
          <c:showPercent val="0"/>
          <c:showBubbleSize val="0"/>
        </c:dLbls>
        <c:smooth val="0"/>
        <c:axId val="883325248"/>
        <c:axId val="883325576"/>
      </c:lineChart>
      <c:catAx>
        <c:axId val="8833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25576"/>
        <c:crosses val="autoZero"/>
        <c:auto val="1"/>
        <c:lblAlgn val="ctr"/>
        <c:lblOffset val="100"/>
        <c:noMultiLvlLbl val="0"/>
      </c:catAx>
      <c:valAx>
        <c:axId val="883325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25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互联网企业用户行为分析'!$B$30</c:f>
              <c:strCache>
                <c:ptCount val="1"/>
                <c:pt idx="0">
                  <c:v>ARPU（Ave Revenue Per User）</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互联网企业用户行为分析'!$C$30:$N$30</c:f>
              <c:numCache>
                <c:formatCode>_(* #,##0.00_);_(* \(#,##0.00\);_(* "-"??_);_(@_)</c:formatCode>
                <c:ptCount val="12"/>
                <c:pt idx="0">
                  <c:v>1.9841269841269842</c:v>
                </c:pt>
                <c:pt idx="1">
                  <c:v>1.9841269841269842</c:v>
                </c:pt>
                <c:pt idx="2">
                  <c:v>1.9841269841269842</c:v>
                </c:pt>
                <c:pt idx="3">
                  <c:v>1.9841269841269842</c:v>
                </c:pt>
                <c:pt idx="4">
                  <c:v>1.9841269841269842</c:v>
                </c:pt>
                <c:pt idx="5">
                  <c:v>1.9841269841269842</c:v>
                </c:pt>
                <c:pt idx="6">
                  <c:v>1.9841269841269844</c:v>
                </c:pt>
                <c:pt idx="7">
                  <c:v>1.9841269841269842</c:v>
                </c:pt>
                <c:pt idx="8">
                  <c:v>1.9841269841269842</c:v>
                </c:pt>
                <c:pt idx="9">
                  <c:v>1.9841269841269842</c:v>
                </c:pt>
                <c:pt idx="10">
                  <c:v>1.9841269841269842</c:v>
                </c:pt>
                <c:pt idx="11">
                  <c:v>1.9841269841269842</c:v>
                </c:pt>
              </c:numCache>
            </c:numRef>
          </c:val>
          <c:smooth val="0"/>
          <c:extLst>
            <c:ext xmlns:c16="http://schemas.microsoft.com/office/drawing/2014/chart" uri="{C3380CC4-5D6E-409C-BE32-E72D297353CC}">
              <c16:uniqueId val="{00000000-8E05-4FDF-8F20-37556D425D12}"/>
            </c:ext>
          </c:extLst>
        </c:ser>
        <c:dLbls>
          <c:showLegendKey val="0"/>
          <c:showVal val="0"/>
          <c:showCatName val="0"/>
          <c:showSerName val="0"/>
          <c:showPercent val="0"/>
          <c:showBubbleSize val="0"/>
        </c:dLbls>
        <c:smooth val="0"/>
        <c:axId val="886433776"/>
        <c:axId val="886432792"/>
      </c:lineChart>
      <c:catAx>
        <c:axId val="8864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432792"/>
        <c:crosses val="autoZero"/>
        <c:auto val="1"/>
        <c:lblAlgn val="ctr"/>
        <c:lblOffset val="100"/>
        <c:noMultiLvlLbl val="0"/>
      </c:catAx>
      <c:valAx>
        <c:axId val="8864327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433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PV</a:t>
            </a:r>
            <a:r>
              <a:rPr lang="zh-CN" altLang="en-US"/>
              <a:t>和</a:t>
            </a:r>
            <a:r>
              <a:rPr lang="en-US" altLang="zh-CN"/>
              <a:t>UV</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互联网企业用户行为分析'!$B$58</c:f>
              <c:strCache>
                <c:ptCount val="1"/>
                <c:pt idx="0">
                  <c:v> PV（Page Visitor）</c:v>
                </c:pt>
              </c:strCache>
            </c:strRef>
          </c:tx>
          <c:spPr>
            <a:ln w="28575" cap="rnd">
              <a:solidFill>
                <a:schemeClr val="accent1"/>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互联网企业用户行为分析'!$C$58:$N$58</c:f>
              <c:numCache>
                <c:formatCode>_ * #,##0_ ;_ * \-#,##0_ ;_ * "-"??_ ;_ @_ </c:formatCode>
                <c:ptCount val="12"/>
                <c:pt idx="0">
                  <c:v>500000</c:v>
                </c:pt>
                <c:pt idx="1">
                  <c:v>520000</c:v>
                </c:pt>
                <c:pt idx="2">
                  <c:v>540000</c:v>
                </c:pt>
                <c:pt idx="3">
                  <c:v>560000</c:v>
                </c:pt>
                <c:pt idx="4">
                  <c:v>580000</c:v>
                </c:pt>
                <c:pt idx="5">
                  <c:v>600000</c:v>
                </c:pt>
                <c:pt idx="6">
                  <c:v>620000</c:v>
                </c:pt>
                <c:pt idx="7">
                  <c:v>640000</c:v>
                </c:pt>
                <c:pt idx="8">
                  <c:v>660000</c:v>
                </c:pt>
                <c:pt idx="9">
                  <c:v>680000</c:v>
                </c:pt>
                <c:pt idx="10">
                  <c:v>700000</c:v>
                </c:pt>
                <c:pt idx="11">
                  <c:v>720000</c:v>
                </c:pt>
              </c:numCache>
            </c:numRef>
          </c:val>
          <c:smooth val="0"/>
          <c:extLst>
            <c:ext xmlns:c16="http://schemas.microsoft.com/office/drawing/2014/chart" uri="{C3380CC4-5D6E-409C-BE32-E72D297353CC}">
              <c16:uniqueId val="{00000000-62B0-4386-B6C3-87DCA4306EC6}"/>
            </c:ext>
          </c:extLst>
        </c:ser>
        <c:ser>
          <c:idx val="1"/>
          <c:order val="1"/>
          <c:tx>
            <c:strRef>
              <c:f>'3. 互联网企业用户行为分析'!$B$59</c:f>
              <c:strCache>
                <c:ptCount val="1"/>
                <c:pt idx="0">
                  <c:v> UV（Unique Visitor）</c:v>
                </c:pt>
              </c:strCache>
            </c:strRef>
          </c:tx>
          <c:spPr>
            <a:ln w="28575" cap="rnd">
              <a:solidFill>
                <a:schemeClr val="accent2"/>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互联网企业用户行为分析'!$C$59:$N$59</c:f>
              <c:numCache>
                <c:formatCode>_ * #,##0_ ;_ * \-#,##0_ ;_ * "-"??_ ;_ @_ </c:formatCode>
                <c:ptCount val="12"/>
                <c:pt idx="0">
                  <c:v>300000</c:v>
                </c:pt>
                <c:pt idx="1">
                  <c:v>312000</c:v>
                </c:pt>
                <c:pt idx="2">
                  <c:v>324000</c:v>
                </c:pt>
                <c:pt idx="3">
                  <c:v>336000</c:v>
                </c:pt>
                <c:pt idx="4">
                  <c:v>348000</c:v>
                </c:pt>
                <c:pt idx="5">
                  <c:v>360000</c:v>
                </c:pt>
                <c:pt idx="6">
                  <c:v>372000</c:v>
                </c:pt>
                <c:pt idx="7">
                  <c:v>384000</c:v>
                </c:pt>
                <c:pt idx="8">
                  <c:v>396000</c:v>
                </c:pt>
                <c:pt idx="9">
                  <c:v>408000</c:v>
                </c:pt>
                <c:pt idx="10">
                  <c:v>420000</c:v>
                </c:pt>
                <c:pt idx="11">
                  <c:v>432000</c:v>
                </c:pt>
              </c:numCache>
            </c:numRef>
          </c:val>
          <c:smooth val="0"/>
          <c:extLst>
            <c:ext xmlns:c16="http://schemas.microsoft.com/office/drawing/2014/chart" uri="{C3380CC4-5D6E-409C-BE32-E72D297353CC}">
              <c16:uniqueId val="{00000001-62B0-4386-B6C3-87DCA4306EC6}"/>
            </c:ext>
          </c:extLst>
        </c:ser>
        <c:dLbls>
          <c:showLegendKey val="0"/>
          <c:showVal val="0"/>
          <c:showCatName val="0"/>
          <c:showSerName val="0"/>
          <c:showPercent val="0"/>
          <c:showBubbleSize val="0"/>
        </c:dLbls>
        <c:smooth val="0"/>
        <c:axId val="877489800"/>
        <c:axId val="877491440"/>
      </c:lineChart>
      <c:catAx>
        <c:axId val="87748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491440"/>
        <c:crosses val="autoZero"/>
        <c:auto val="1"/>
        <c:lblAlgn val="ctr"/>
        <c:lblOffset val="100"/>
        <c:noMultiLvlLbl val="0"/>
      </c:catAx>
      <c:valAx>
        <c:axId val="8774914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489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DAU</a:t>
            </a:r>
            <a:r>
              <a:rPr lang="zh-CN" altLang="en-US"/>
              <a:t>和</a:t>
            </a:r>
            <a:r>
              <a:rPr lang="en-US" altLang="zh-CN"/>
              <a:t>MAU</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互联网企业用户行为分析'!$B$60</c:f>
              <c:strCache>
                <c:ptCount val="1"/>
                <c:pt idx="0">
                  <c:v> DAU（日活跃用户）</c:v>
                </c:pt>
              </c:strCache>
            </c:strRef>
          </c:tx>
          <c:spPr>
            <a:ln w="28575" cap="rnd">
              <a:solidFill>
                <a:schemeClr val="accent1"/>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互联网企业用户行为分析'!$C$60:$N$60</c:f>
              <c:numCache>
                <c:formatCode>_ * #,##0_ ;_ * \-#,##0_ ;_ * "-"??_ ;_ @_ </c:formatCode>
                <c:ptCount val="12"/>
                <c:pt idx="0">
                  <c:v>4200</c:v>
                </c:pt>
                <c:pt idx="1">
                  <c:v>5040</c:v>
                </c:pt>
                <c:pt idx="2">
                  <c:v>5880</c:v>
                </c:pt>
                <c:pt idx="3">
                  <c:v>6720</c:v>
                </c:pt>
                <c:pt idx="4">
                  <c:v>7560</c:v>
                </c:pt>
                <c:pt idx="5">
                  <c:v>8400</c:v>
                </c:pt>
                <c:pt idx="6">
                  <c:v>9239.9999999999982</c:v>
                </c:pt>
                <c:pt idx="7">
                  <c:v>10080</c:v>
                </c:pt>
                <c:pt idx="8">
                  <c:v>10920</c:v>
                </c:pt>
                <c:pt idx="9">
                  <c:v>11760</c:v>
                </c:pt>
                <c:pt idx="10">
                  <c:v>12600</c:v>
                </c:pt>
                <c:pt idx="11">
                  <c:v>13440</c:v>
                </c:pt>
              </c:numCache>
            </c:numRef>
          </c:val>
          <c:smooth val="0"/>
          <c:extLst>
            <c:ext xmlns:c16="http://schemas.microsoft.com/office/drawing/2014/chart" uri="{C3380CC4-5D6E-409C-BE32-E72D297353CC}">
              <c16:uniqueId val="{00000000-02D2-49EB-B575-6BF7005DB034}"/>
            </c:ext>
          </c:extLst>
        </c:ser>
        <c:ser>
          <c:idx val="1"/>
          <c:order val="1"/>
          <c:tx>
            <c:strRef>
              <c:f>'3. 互联网企业用户行为分析'!$B$61</c:f>
              <c:strCache>
                <c:ptCount val="1"/>
                <c:pt idx="0">
                  <c:v> MAU（月活跃用户）</c:v>
                </c:pt>
              </c:strCache>
            </c:strRef>
          </c:tx>
          <c:spPr>
            <a:ln w="28575" cap="rnd">
              <a:solidFill>
                <a:schemeClr val="accent2"/>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互联网企业用户行为分析'!$C$61:$N$61</c:f>
              <c:numCache>
                <c:formatCode>_ * #,##0_ ;_ * \-#,##0_ ;_ * "-"??_ ;_ @_ </c:formatCode>
                <c:ptCount val="12"/>
                <c:pt idx="0">
                  <c:v>5040</c:v>
                </c:pt>
                <c:pt idx="1">
                  <c:v>6048</c:v>
                </c:pt>
                <c:pt idx="2">
                  <c:v>7056</c:v>
                </c:pt>
                <c:pt idx="3">
                  <c:v>8064</c:v>
                </c:pt>
                <c:pt idx="4">
                  <c:v>9072</c:v>
                </c:pt>
                <c:pt idx="5">
                  <c:v>10080</c:v>
                </c:pt>
                <c:pt idx="6">
                  <c:v>11087.999999999998</c:v>
                </c:pt>
                <c:pt idx="7">
                  <c:v>12096</c:v>
                </c:pt>
                <c:pt idx="8">
                  <c:v>13104</c:v>
                </c:pt>
                <c:pt idx="9">
                  <c:v>14112</c:v>
                </c:pt>
                <c:pt idx="10">
                  <c:v>15120</c:v>
                </c:pt>
                <c:pt idx="11">
                  <c:v>16128</c:v>
                </c:pt>
              </c:numCache>
            </c:numRef>
          </c:val>
          <c:smooth val="0"/>
          <c:extLst>
            <c:ext xmlns:c16="http://schemas.microsoft.com/office/drawing/2014/chart" uri="{C3380CC4-5D6E-409C-BE32-E72D297353CC}">
              <c16:uniqueId val="{00000001-02D2-49EB-B575-6BF7005DB034}"/>
            </c:ext>
          </c:extLst>
        </c:ser>
        <c:dLbls>
          <c:showLegendKey val="0"/>
          <c:showVal val="0"/>
          <c:showCatName val="0"/>
          <c:showSerName val="0"/>
          <c:showPercent val="0"/>
          <c:showBubbleSize val="0"/>
        </c:dLbls>
        <c:smooth val="0"/>
        <c:axId val="891936504"/>
        <c:axId val="891935192"/>
      </c:lineChart>
      <c:catAx>
        <c:axId val="89193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935192"/>
        <c:crosses val="autoZero"/>
        <c:auto val="1"/>
        <c:lblAlgn val="ctr"/>
        <c:lblOffset val="100"/>
        <c:noMultiLvlLbl val="0"/>
      </c:catAx>
      <c:valAx>
        <c:axId val="8919351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936504"/>
        <c:crosses val="autoZero"/>
        <c:crossBetween val="between"/>
      </c:valAx>
      <c:spPr>
        <a:noFill/>
        <a:ln>
          <a:noFill/>
        </a:ln>
        <a:effectLst/>
      </c:spPr>
    </c:plotArea>
    <c:legend>
      <c:legendPos val="b"/>
      <c:layout>
        <c:manualLayout>
          <c:xMode val="edge"/>
          <c:yMode val="edge"/>
          <c:x val="0.10929508898365252"/>
          <c:y val="0.90975306463709249"/>
          <c:w val="0.89050758504850269"/>
          <c:h val="9.02469353629075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活跃用户率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互联网企业用户行为分析'!$B$72</c:f>
              <c:strCache>
                <c:ptCount val="1"/>
                <c:pt idx="0">
                  <c:v>      新活跃用户率</c:v>
                </c:pt>
              </c:strCache>
            </c:strRef>
          </c:tx>
          <c:spPr>
            <a:ln w="28575" cap="rnd">
              <a:solidFill>
                <a:schemeClr val="accent1"/>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互联网企业用户行为分析'!$C$72:$N$72</c:f>
              <c:numCache>
                <c:formatCode>0%</c:formatCode>
                <c:ptCount val="12"/>
                <c:pt idx="0">
                  <c:v>0.36</c:v>
                </c:pt>
                <c:pt idx="1">
                  <c:v>0.36</c:v>
                </c:pt>
                <c:pt idx="2">
                  <c:v>0.36</c:v>
                </c:pt>
                <c:pt idx="3">
                  <c:v>0.36</c:v>
                </c:pt>
                <c:pt idx="4">
                  <c:v>0.36</c:v>
                </c:pt>
                <c:pt idx="5">
                  <c:v>0.36</c:v>
                </c:pt>
                <c:pt idx="6">
                  <c:v>0.36</c:v>
                </c:pt>
                <c:pt idx="7">
                  <c:v>0.36</c:v>
                </c:pt>
                <c:pt idx="8">
                  <c:v>0.36</c:v>
                </c:pt>
                <c:pt idx="9">
                  <c:v>0.36</c:v>
                </c:pt>
                <c:pt idx="10">
                  <c:v>0.36</c:v>
                </c:pt>
                <c:pt idx="11">
                  <c:v>0.36</c:v>
                </c:pt>
              </c:numCache>
            </c:numRef>
          </c:val>
          <c:smooth val="0"/>
          <c:extLst>
            <c:ext xmlns:c16="http://schemas.microsoft.com/office/drawing/2014/chart" uri="{C3380CC4-5D6E-409C-BE32-E72D297353CC}">
              <c16:uniqueId val="{00000000-BF84-4EE2-BB64-F61BDC709C2F}"/>
            </c:ext>
          </c:extLst>
        </c:ser>
        <c:ser>
          <c:idx val="1"/>
          <c:order val="1"/>
          <c:tx>
            <c:strRef>
              <c:f>'3. 互联网企业用户行为分析'!$B$73</c:f>
              <c:strCache>
                <c:ptCount val="1"/>
                <c:pt idx="0">
                  <c:v>      老活跃用户率</c:v>
                </c:pt>
              </c:strCache>
            </c:strRef>
          </c:tx>
          <c:spPr>
            <a:ln w="28575" cap="rnd">
              <a:solidFill>
                <a:schemeClr val="accent2"/>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互联网企业用户行为分析'!$C$73:$N$73</c:f>
              <c:numCache>
                <c:formatCode>0%</c:formatCode>
                <c:ptCount val="12"/>
                <c:pt idx="0">
                  <c:v>0</c:v>
                </c:pt>
                <c:pt idx="1">
                  <c:v>0.432</c:v>
                </c:pt>
                <c:pt idx="2">
                  <c:v>0.2290909090909091</c:v>
                </c:pt>
                <c:pt idx="3">
                  <c:v>0.16</c:v>
                </c:pt>
                <c:pt idx="4">
                  <c:v>0.12461538461538461</c:v>
                </c:pt>
                <c:pt idx="5">
                  <c:v>0.10285714285714286</c:v>
                </c:pt>
                <c:pt idx="6">
                  <c:v>8.7999999999999981E-2</c:v>
                </c:pt>
                <c:pt idx="7">
                  <c:v>7.7142857142857138E-2</c:v>
                </c:pt>
                <c:pt idx="8">
                  <c:v>6.88235294117647E-2</c:v>
                </c:pt>
                <c:pt idx="9">
                  <c:v>6.222222222222222E-2</c:v>
                </c:pt>
                <c:pt idx="10">
                  <c:v>5.6842105263157895E-2</c:v>
                </c:pt>
                <c:pt idx="11">
                  <c:v>5.2363636363636362E-2</c:v>
                </c:pt>
              </c:numCache>
            </c:numRef>
          </c:val>
          <c:smooth val="0"/>
          <c:extLst>
            <c:ext xmlns:c16="http://schemas.microsoft.com/office/drawing/2014/chart" uri="{C3380CC4-5D6E-409C-BE32-E72D297353CC}">
              <c16:uniqueId val="{00000001-BF84-4EE2-BB64-F61BDC709C2F}"/>
            </c:ext>
          </c:extLst>
        </c:ser>
        <c:ser>
          <c:idx val="2"/>
          <c:order val="2"/>
          <c:tx>
            <c:strRef>
              <c:f>'3. 互联网企业用户行为分析'!$B$74</c:f>
              <c:strCache>
                <c:ptCount val="1"/>
                <c:pt idx="0">
                  <c:v>      总活跃用户率</c:v>
                </c:pt>
              </c:strCache>
            </c:strRef>
          </c:tx>
          <c:spPr>
            <a:ln w="28575" cap="rnd">
              <a:solidFill>
                <a:schemeClr val="accent3"/>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互联网企业用户行为分析'!$C$74:$N$74</c:f>
              <c:numCache>
                <c:formatCode>0%</c:formatCode>
                <c:ptCount val="12"/>
                <c:pt idx="0">
                  <c:v>0.72</c:v>
                </c:pt>
                <c:pt idx="1">
                  <c:v>0.3927272727272727</c:v>
                </c:pt>
                <c:pt idx="2">
                  <c:v>0.28000000000000003</c:v>
                </c:pt>
                <c:pt idx="3">
                  <c:v>0.22153846153846155</c:v>
                </c:pt>
                <c:pt idx="4">
                  <c:v>0.18514285714285714</c:v>
                </c:pt>
                <c:pt idx="5">
                  <c:v>0.16</c:v>
                </c:pt>
                <c:pt idx="6">
                  <c:v>0.1414285714285714</c:v>
                </c:pt>
                <c:pt idx="7">
                  <c:v>0.12705882352941175</c:v>
                </c:pt>
                <c:pt idx="8">
                  <c:v>0.11555555555555555</c:v>
                </c:pt>
                <c:pt idx="9">
                  <c:v>0.10610526315789473</c:v>
                </c:pt>
                <c:pt idx="10">
                  <c:v>9.8181818181818176E-2</c:v>
                </c:pt>
                <c:pt idx="11">
                  <c:v>9.1428571428571428E-2</c:v>
                </c:pt>
              </c:numCache>
            </c:numRef>
          </c:val>
          <c:smooth val="0"/>
          <c:extLst>
            <c:ext xmlns:c16="http://schemas.microsoft.com/office/drawing/2014/chart" uri="{C3380CC4-5D6E-409C-BE32-E72D297353CC}">
              <c16:uniqueId val="{00000002-BF84-4EE2-BB64-F61BDC709C2F}"/>
            </c:ext>
          </c:extLst>
        </c:ser>
        <c:dLbls>
          <c:showLegendKey val="0"/>
          <c:showVal val="0"/>
          <c:showCatName val="0"/>
          <c:showSerName val="0"/>
          <c:showPercent val="0"/>
          <c:showBubbleSize val="0"/>
        </c:dLbls>
        <c:smooth val="0"/>
        <c:axId val="630030712"/>
        <c:axId val="630025464"/>
      </c:lineChart>
      <c:catAx>
        <c:axId val="63003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25464"/>
        <c:crosses val="autoZero"/>
        <c:auto val="1"/>
        <c:lblAlgn val="ctr"/>
        <c:lblOffset val="100"/>
        <c:noMultiLvlLbl val="0"/>
      </c:catAx>
      <c:valAx>
        <c:axId val="630025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30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新老活跃用户</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互联网企业用户行为分析'!$B$70</c:f>
              <c:strCache>
                <c:ptCount val="1"/>
                <c:pt idx="0">
                  <c:v>    新活跃用户数</c:v>
                </c:pt>
              </c:strCache>
            </c:strRef>
          </c:tx>
          <c:spPr>
            <a:ln w="28575" cap="rnd">
              <a:solidFill>
                <a:schemeClr val="accent1"/>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互联网企业用户行为分析'!$C$70:$N$70</c:f>
              <c:numCache>
                <c:formatCode>_ * #,##0_ ;_ * \-#,##0_ ;_ * "-"??_ ;_ @_ </c:formatCode>
                <c:ptCount val="12"/>
                <c:pt idx="0">
                  <c:v>2520</c:v>
                </c:pt>
                <c:pt idx="1">
                  <c:v>3024</c:v>
                </c:pt>
                <c:pt idx="2">
                  <c:v>3528</c:v>
                </c:pt>
                <c:pt idx="3">
                  <c:v>4032</c:v>
                </c:pt>
                <c:pt idx="4">
                  <c:v>4536</c:v>
                </c:pt>
                <c:pt idx="5">
                  <c:v>5040</c:v>
                </c:pt>
                <c:pt idx="6">
                  <c:v>5543.9999999999991</c:v>
                </c:pt>
                <c:pt idx="7">
                  <c:v>6048</c:v>
                </c:pt>
                <c:pt idx="8">
                  <c:v>6552</c:v>
                </c:pt>
                <c:pt idx="9">
                  <c:v>7056</c:v>
                </c:pt>
                <c:pt idx="10">
                  <c:v>7560</c:v>
                </c:pt>
                <c:pt idx="11">
                  <c:v>8064</c:v>
                </c:pt>
              </c:numCache>
            </c:numRef>
          </c:val>
          <c:smooth val="0"/>
          <c:extLst>
            <c:ext xmlns:c16="http://schemas.microsoft.com/office/drawing/2014/chart" uri="{C3380CC4-5D6E-409C-BE32-E72D297353CC}">
              <c16:uniqueId val="{00000000-E42E-4CD2-9E89-A8258AE52AFF}"/>
            </c:ext>
          </c:extLst>
        </c:ser>
        <c:ser>
          <c:idx val="1"/>
          <c:order val="1"/>
          <c:tx>
            <c:strRef>
              <c:f>'3. 互联网企业用户行为分析'!$B$71</c:f>
              <c:strCache>
                <c:ptCount val="1"/>
                <c:pt idx="0">
                  <c:v>    老活跃用户数</c:v>
                </c:pt>
              </c:strCache>
            </c:strRef>
          </c:tx>
          <c:spPr>
            <a:ln w="28575" cap="rnd">
              <a:solidFill>
                <a:schemeClr val="accent2"/>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互联网企业用户行为分析'!$C$71:$N$71</c:f>
              <c:numCache>
                <c:formatCode>_ * #,##0_ ;_ * \-#,##0_ ;_ * "-"??_ ;_ @_ </c:formatCode>
                <c:ptCount val="12"/>
                <c:pt idx="0">
                  <c:v>2520</c:v>
                </c:pt>
                <c:pt idx="1">
                  <c:v>3024</c:v>
                </c:pt>
                <c:pt idx="2">
                  <c:v>3528</c:v>
                </c:pt>
                <c:pt idx="3">
                  <c:v>4032</c:v>
                </c:pt>
                <c:pt idx="4">
                  <c:v>4536</c:v>
                </c:pt>
                <c:pt idx="5">
                  <c:v>5040</c:v>
                </c:pt>
                <c:pt idx="6">
                  <c:v>5543.9999999999991</c:v>
                </c:pt>
                <c:pt idx="7">
                  <c:v>6048</c:v>
                </c:pt>
                <c:pt idx="8">
                  <c:v>6552</c:v>
                </c:pt>
                <c:pt idx="9">
                  <c:v>7056</c:v>
                </c:pt>
                <c:pt idx="10">
                  <c:v>7560</c:v>
                </c:pt>
                <c:pt idx="11">
                  <c:v>8064</c:v>
                </c:pt>
              </c:numCache>
            </c:numRef>
          </c:val>
          <c:smooth val="0"/>
          <c:extLst>
            <c:ext xmlns:c16="http://schemas.microsoft.com/office/drawing/2014/chart" uri="{C3380CC4-5D6E-409C-BE32-E72D297353CC}">
              <c16:uniqueId val="{00000001-E42E-4CD2-9E89-A8258AE52AFF}"/>
            </c:ext>
          </c:extLst>
        </c:ser>
        <c:dLbls>
          <c:showLegendKey val="0"/>
          <c:showVal val="0"/>
          <c:showCatName val="0"/>
          <c:showSerName val="0"/>
          <c:showPercent val="0"/>
          <c:showBubbleSize val="0"/>
        </c:dLbls>
        <c:smooth val="0"/>
        <c:axId val="704874136"/>
        <c:axId val="704887584"/>
      </c:lineChart>
      <c:catAx>
        <c:axId val="70487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887584"/>
        <c:crosses val="autoZero"/>
        <c:auto val="1"/>
        <c:lblAlgn val="ctr"/>
        <c:lblOffset val="100"/>
        <c:noMultiLvlLbl val="0"/>
      </c:catAx>
      <c:valAx>
        <c:axId val="7048875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874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客户流量来源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'3. 互联网企业用户行为分析'!$B$249</c:f>
              <c:strCache>
                <c:ptCount val="1"/>
                <c:pt idx="0">
                  <c:v>付费广告（成本中心）</c:v>
                </c:pt>
              </c:strCache>
            </c:strRef>
          </c:tx>
          <c:spPr>
            <a:solidFill>
              <a:schemeClr val="accent1"/>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互联网企业用户行为分析'!$C$249:$N$249</c:f>
              <c:numCache>
                <c:formatCode>_ * #,##0_ ;_ * \-#,##0_ ;_ * "-"??_ ;_ @_ </c:formatCode>
                <c:ptCount val="12"/>
                <c:pt idx="0">
                  <c:v>300</c:v>
                </c:pt>
                <c:pt idx="1">
                  <c:v>310</c:v>
                </c:pt>
                <c:pt idx="2">
                  <c:v>320</c:v>
                </c:pt>
                <c:pt idx="3">
                  <c:v>330</c:v>
                </c:pt>
                <c:pt idx="4">
                  <c:v>340</c:v>
                </c:pt>
                <c:pt idx="5">
                  <c:v>350</c:v>
                </c:pt>
                <c:pt idx="6">
                  <c:v>360</c:v>
                </c:pt>
                <c:pt idx="7">
                  <c:v>370</c:v>
                </c:pt>
                <c:pt idx="8">
                  <c:v>380</c:v>
                </c:pt>
                <c:pt idx="9">
                  <c:v>390</c:v>
                </c:pt>
                <c:pt idx="10">
                  <c:v>400</c:v>
                </c:pt>
                <c:pt idx="11">
                  <c:v>410</c:v>
                </c:pt>
              </c:numCache>
            </c:numRef>
          </c:val>
          <c:extLst>
            <c:ext xmlns:c16="http://schemas.microsoft.com/office/drawing/2014/chart" uri="{C3380CC4-5D6E-409C-BE32-E72D297353CC}">
              <c16:uniqueId val="{00000000-3449-4AD3-9EE7-F1127038AEDE}"/>
            </c:ext>
          </c:extLst>
        </c:ser>
        <c:ser>
          <c:idx val="1"/>
          <c:order val="1"/>
          <c:tx>
            <c:strRef>
              <c:f>'3. 互联网企业用户行为分析'!$B$250</c:f>
              <c:strCache>
                <c:ptCount val="1"/>
                <c:pt idx="0">
                  <c:v>SEO优化</c:v>
                </c:pt>
              </c:strCache>
            </c:strRef>
          </c:tx>
          <c:spPr>
            <a:solidFill>
              <a:schemeClr val="accent2"/>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互联网企业用户行为分析'!$C$250:$N$250</c:f>
              <c:numCache>
                <c:formatCode>_ * #,##0_ ;_ * \-#,##0_ ;_ * "-"??_ ;_ @_ </c:formatCode>
                <c:ptCount val="12"/>
                <c:pt idx="0">
                  <c:v>200</c:v>
                </c:pt>
                <c:pt idx="1">
                  <c:v>210</c:v>
                </c:pt>
                <c:pt idx="2">
                  <c:v>220</c:v>
                </c:pt>
                <c:pt idx="3">
                  <c:v>230</c:v>
                </c:pt>
                <c:pt idx="4">
                  <c:v>240</c:v>
                </c:pt>
                <c:pt idx="5">
                  <c:v>250</c:v>
                </c:pt>
                <c:pt idx="6">
                  <c:v>260</c:v>
                </c:pt>
                <c:pt idx="7">
                  <c:v>270</c:v>
                </c:pt>
                <c:pt idx="8">
                  <c:v>280</c:v>
                </c:pt>
                <c:pt idx="9">
                  <c:v>290</c:v>
                </c:pt>
                <c:pt idx="10">
                  <c:v>300</c:v>
                </c:pt>
                <c:pt idx="11">
                  <c:v>310</c:v>
                </c:pt>
              </c:numCache>
            </c:numRef>
          </c:val>
          <c:extLst>
            <c:ext xmlns:c16="http://schemas.microsoft.com/office/drawing/2014/chart" uri="{C3380CC4-5D6E-409C-BE32-E72D297353CC}">
              <c16:uniqueId val="{00000001-3449-4AD3-9EE7-F1127038AEDE}"/>
            </c:ext>
          </c:extLst>
        </c:ser>
        <c:ser>
          <c:idx val="2"/>
          <c:order val="2"/>
          <c:tx>
            <c:strRef>
              <c:f>'3. 互联网企业用户行为分析'!$B$251</c:f>
              <c:strCache>
                <c:ptCount val="1"/>
                <c:pt idx="0">
                  <c:v>社交网络</c:v>
                </c:pt>
              </c:strCache>
            </c:strRef>
          </c:tx>
          <c:spPr>
            <a:solidFill>
              <a:schemeClr val="accent3"/>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互联网企业用户行为分析'!$C$251:$N$251</c:f>
              <c:numCache>
                <c:formatCode>_ * #,##0_ ;_ * \-#,##0_ ;_ * "-"??_ ;_ @_ </c:formatCode>
                <c:ptCount val="12"/>
                <c:pt idx="0">
                  <c:v>50</c:v>
                </c:pt>
                <c:pt idx="1">
                  <c:v>53</c:v>
                </c:pt>
                <c:pt idx="2">
                  <c:v>56</c:v>
                </c:pt>
                <c:pt idx="3">
                  <c:v>59</c:v>
                </c:pt>
                <c:pt idx="4">
                  <c:v>62</c:v>
                </c:pt>
                <c:pt idx="5">
                  <c:v>65</c:v>
                </c:pt>
                <c:pt idx="6">
                  <c:v>68</c:v>
                </c:pt>
                <c:pt idx="7">
                  <c:v>71</c:v>
                </c:pt>
                <c:pt idx="8">
                  <c:v>74</c:v>
                </c:pt>
                <c:pt idx="9">
                  <c:v>77</c:v>
                </c:pt>
                <c:pt idx="10">
                  <c:v>80</c:v>
                </c:pt>
                <c:pt idx="11">
                  <c:v>83</c:v>
                </c:pt>
              </c:numCache>
            </c:numRef>
          </c:val>
          <c:extLst>
            <c:ext xmlns:c16="http://schemas.microsoft.com/office/drawing/2014/chart" uri="{C3380CC4-5D6E-409C-BE32-E72D297353CC}">
              <c16:uniqueId val="{00000002-3449-4AD3-9EE7-F1127038AEDE}"/>
            </c:ext>
          </c:extLst>
        </c:ser>
        <c:ser>
          <c:idx val="3"/>
          <c:order val="3"/>
          <c:tx>
            <c:strRef>
              <c:f>'3. 互联网企业用户行为分析'!$B$252</c:f>
              <c:strCache>
                <c:ptCount val="1"/>
                <c:pt idx="0">
                  <c:v>朋友口碑推荐（高价值流量）</c:v>
                </c:pt>
              </c:strCache>
            </c:strRef>
          </c:tx>
          <c:spPr>
            <a:solidFill>
              <a:schemeClr val="accent4"/>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互联网企业用户行为分析'!$C$252:$N$252</c:f>
              <c:numCache>
                <c:formatCode>_ * #,##0_ ;_ * \-#,##0_ ;_ * "-"??_ ;_ @_ </c:formatCode>
                <c:ptCount val="12"/>
                <c:pt idx="0">
                  <c:v>100</c:v>
                </c:pt>
                <c:pt idx="1">
                  <c:v>120</c:v>
                </c:pt>
                <c:pt idx="2">
                  <c:v>140</c:v>
                </c:pt>
                <c:pt idx="3">
                  <c:v>160</c:v>
                </c:pt>
                <c:pt idx="4">
                  <c:v>180</c:v>
                </c:pt>
                <c:pt idx="5">
                  <c:v>200</c:v>
                </c:pt>
                <c:pt idx="6">
                  <c:v>220</c:v>
                </c:pt>
                <c:pt idx="7">
                  <c:v>240</c:v>
                </c:pt>
                <c:pt idx="8">
                  <c:v>260</c:v>
                </c:pt>
                <c:pt idx="9">
                  <c:v>280</c:v>
                </c:pt>
                <c:pt idx="10">
                  <c:v>300</c:v>
                </c:pt>
                <c:pt idx="11">
                  <c:v>320</c:v>
                </c:pt>
              </c:numCache>
            </c:numRef>
          </c:val>
          <c:extLst>
            <c:ext xmlns:c16="http://schemas.microsoft.com/office/drawing/2014/chart" uri="{C3380CC4-5D6E-409C-BE32-E72D297353CC}">
              <c16:uniqueId val="{00000003-3449-4AD3-9EE7-F1127038AEDE}"/>
            </c:ext>
          </c:extLst>
        </c:ser>
        <c:ser>
          <c:idx val="4"/>
          <c:order val="4"/>
          <c:tx>
            <c:strRef>
              <c:f>'3. 互联网企业用户行为分析'!$B$253</c:f>
              <c:strCache>
                <c:ptCount val="1"/>
                <c:pt idx="0">
                  <c:v>直接访问（高价值流量）</c:v>
                </c:pt>
              </c:strCache>
            </c:strRef>
          </c:tx>
          <c:spPr>
            <a:solidFill>
              <a:schemeClr val="accent5"/>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互联网企业用户行为分析'!$C$253:$N$253</c:f>
              <c:numCache>
                <c:formatCode>_ * #,##0_ ;_ * \-#,##0_ ;_ * "-"??_ ;_ @_ </c:formatCode>
                <c:ptCount val="12"/>
                <c:pt idx="0">
                  <c:v>100</c:v>
                </c:pt>
                <c:pt idx="1">
                  <c:v>110</c:v>
                </c:pt>
                <c:pt idx="2">
                  <c:v>120</c:v>
                </c:pt>
                <c:pt idx="3">
                  <c:v>130</c:v>
                </c:pt>
                <c:pt idx="4">
                  <c:v>140</c:v>
                </c:pt>
                <c:pt idx="5">
                  <c:v>150</c:v>
                </c:pt>
                <c:pt idx="6">
                  <c:v>160</c:v>
                </c:pt>
                <c:pt idx="7">
                  <c:v>170</c:v>
                </c:pt>
                <c:pt idx="8">
                  <c:v>180</c:v>
                </c:pt>
                <c:pt idx="9">
                  <c:v>190</c:v>
                </c:pt>
                <c:pt idx="10">
                  <c:v>200</c:v>
                </c:pt>
                <c:pt idx="11">
                  <c:v>210</c:v>
                </c:pt>
              </c:numCache>
            </c:numRef>
          </c:val>
          <c:extLst>
            <c:ext xmlns:c16="http://schemas.microsoft.com/office/drawing/2014/chart" uri="{C3380CC4-5D6E-409C-BE32-E72D297353CC}">
              <c16:uniqueId val="{00000004-3449-4AD3-9EE7-F1127038AEDE}"/>
            </c:ext>
          </c:extLst>
        </c:ser>
        <c:dLbls>
          <c:showLegendKey val="0"/>
          <c:showVal val="0"/>
          <c:showCatName val="0"/>
          <c:showSerName val="0"/>
          <c:showPercent val="0"/>
          <c:showBubbleSize val="0"/>
        </c:dLbls>
        <c:gapWidth val="150"/>
        <c:overlap val="100"/>
        <c:axId val="407817312"/>
        <c:axId val="699563072"/>
      </c:barChart>
      <c:catAx>
        <c:axId val="4078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9563072"/>
        <c:crosses val="autoZero"/>
        <c:auto val="1"/>
        <c:lblAlgn val="ctr"/>
        <c:lblOffset val="100"/>
        <c:noMultiLvlLbl val="0"/>
      </c:catAx>
      <c:valAx>
        <c:axId val="69956307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81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jpeg"/><Relationship Id="rId15" Type="http://schemas.openxmlformats.org/officeDocument/2006/relationships/chart" Target="../charts/chart10.xml"/><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182432</xdr:colOff>
      <xdr:row>1</xdr:row>
      <xdr:rowOff>43927</xdr:rowOff>
    </xdr:from>
    <xdr:to>
      <xdr:col>2</xdr:col>
      <xdr:colOff>91888</xdr:colOff>
      <xdr:row>19</xdr:row>
      <xdr:rowOff>66787</xdr:rowOff>
    </xdr:to>
    <xdr:sp macro="" textlink="">
      <xdr:nvSpPr>
        <xdr:cNvPr id="3" name="矩形 2">
          <a:extLst>
            <a:ext uri="{FF2B5EF4-FFF2-40B4-BE49-F238E27FC236}">
              <a16:creationId xmlns:a16="http://schemas.microsoft.com/office/drawing/2014/main" id="{3AA8C151-B3B2-4DA0-B5C9-A92F3C9AD722}"/>
            </a:ext>
          </a:extLst>
        </xdr:cNvPr>
        <xdr:cNvSpPr/>
      </xdr:nvSpPr>
      <xdr:spPr>
        <a:xfrm>
          <a:off x="182432" y="223221"/>
          <a:ext cx="8112162" cy="3250154"/>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、对业务和财务真实质量进行多维度交叉验证；</a:t>
          </a:r>
          <a:endParaRPr lang="zh-CN"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zh-CN" sz="1100">
              <a:solidFill>
                <a:sysClr val="windowText" lastClr="000000"/>
              </a:solidFill>
              <a:latin typeface="+mn-lt"/>
              <a:ea typeface="+mn-ea"/>
              <a:cs typeface="+mn-cs"/>
            </a:rPr>
            <a:t>、</a:t>
          </a:r>
          <a:r>
            <a:rPr lang="zh-CN" altLang="en-US" sz="1100">
              <a:solidFill>
                <a:sysClr val="windowText" lastClr="000000"/>
              </a:solidFill>
              <a:latin typeface="+mn-lt"/>
              <a:ea typeface="+mn-ea"/>
              <a:cs typeface="+mn-cs"/>
            </a:rPr>
            <a:t>判断员工对公司愿景是否清晰，可实现，和管理水平；</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访谈范围</a:t>
          </a:r>
          <a:r>
            <a:rPr lang="zh-CN" altLang="zh-CN" sz="1100" b="1">
              <a:solidFill>
                <a:sysClr val="windowText" lastClr="000000"/>
              </a:solidFill>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a:solidFill>
                <a:sysClr val="windowText" lastClr="000000"/>
              </a:solidFill>
              <a:latin typeface="+mn-lt"/>
              <a:ea typeface="+mn-ea"/>
              <a:cs typeface="+mn-cs"/>
            </a:rPr>
            <a:t>1</a:t>
          </a:r>
          <a:r>
            <a:rPr lang="zh-CN" altLang="zh-CN" sz="1100">
              <a:solidFill>
                <a:sysClr val="windowText" lastClr="000000"/>
              </a:solidFill>
              <a:latin typeface="+mn-lt"/>
              <a:ea typeface="+mn-ea"/>
              <a:cs typeface="+mn-cs"/>
            </a:rPr>
            <a:t>、</a:t>
          </a:r>
          <a:r>
            <a:rPr lang="zh-CN" altLang="en-US" sz="1100">
              <a:solidFill>
                <a:sysClr val="windowText" lastClr="000000"/>
              </a:solidFill>
              <a:latin typeface="+mn-lt"/>
              <a:ea typeface="+mn-ea"/>
              <a:cs typeface="+mn-cs"/>
            </a:rPr>
            <a:t>创始人、</a:t>
          </a:r>
          <a:r>
            <a:rPr lang="zh-CN" altLang="zh-CN" sz="1100">
              <a:solidFill>
                <a:sysClr val="windowText" lastClr="000000"/>
              </a:solidFill>
              <a:latin typeface="+mn-lt"/>
              <a:ea typeface="+mn-ea"/>
              <a:cs typeface="+mn-cs"/>
            </a:rPr>
            <a:t>部门负责人</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副手；</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、其他</a:t>
          </a:r>
          <a:r>
            <a:rPr lang="zh-CN" altLang="zh-CN" sz="1100">
              <a:solidFill>
                <a:sysClr val="windowText" lastClr="000000"/>
              </a:solidFill>
              <a:latin typeface="+mn-lt"/>
              <a:ea typeface="+mn-ea"/>
              <a:cs typeface="+mn-cs"/>
            </a:rPr>
            <a:t>“不可或缺”或“可替代性</a:t>
          </a:r>
          <a:r>
            <a:rPr lang="zh-CN" altLang="en-US" sz="1100">
              <a:solidFill>
                <a:sysClr val="windowText" lastClr="000000"/>
              </a:solidFill>
              <a:latin typeface="+mn-lt"/>
              <a:ea typeface="+mn-ea"/>
              <a:cs typeface="+mn-cs"/>
            </a:rPr>
            <a:t>弱</a:t>
          </a:r>
          <a:r>
            <a:rPr lang="zh-CN" altLang="zh-CN" sz="1100">
              <a:solidFill>
                <a:sysClr val="windowText" lastClr="000000"/>
              </a:solidFill>
              <a:latin typeface="+mn-lt"/>
              <a:ea typeface="+mn-ea"/>
              <a:cs typeface="+mn-cs"/>
            </a:rPr>
            <a:t>”或“走了对部门影响很大”的</a:t>
          </a:r>
          <a:r>
            <a:rPr lang="zh-CN" altLang="en-US" sz="1100">
              <a:solidFill>
                <a:sysClr val="windowText" lastClr="000000"/>
              </a:solidFill>
              <a:latin typeface="+mn-lt"/>
              <a:ea typeface="+mn-ea"/>
              <a:cs typeface="+mn-cs"/>
            </a:rPr>
            <a:t>员工；重要离职员工</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、随机抽查部分基层员工</a:t>
          </a:r>
          <a:endParaRPr lang="zh-CN"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指导原则：</a:t>
          </a:r>
          <a:endParaRPr lang="en-US" altLang="zh-CN" sz="1100" b="1">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访谈清单的模板化和量化，能全面和多维度的提高访谈质量，减少感性造成的偏差和遗漏；</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访谈清单不易太详细，会影响实用性，效果打折；</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、访谈清单根据实际情况适当添减，灵活使用；</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、多引导员工举例说明，避免太抽象的回答；</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5</a:t>
          </a:r>
          <a:r>
            <a:rPr lang="zh-CN" altLang="en-US" sz="1100">
              <a:solidFill>
                <a:sysClr val="windowText" lastClr="000000"/>
              </a:solidFill>
              <a:latin typeface="+mn-lt"/>
              <a:ea typeface="+mn-ea"/>
              <a:cs typeface="+mn-cs"/>
            </a:rPr>
            <a:t>、戒备心下很难得到真实答案，争取建立友谊和信任；</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6</a:t>
          </a:r>
          <a:r>
            <a:rPr lang="zh-CN" altLang="en-US" sz="1100">
              <a:solidFill>
                <a:sysClr val="windowText" lastClr="000000"/>
              </a:solidFill>
              <a:latin typeface="+mn-lt"/>
              <a:ea typeface="+mn-ea"/>
              <a:cs typeface="+mn-cs"/>
            </a:rPr>
            <a:t>、记录各员工访谈核心要点在右边栏，感知多维度的评价；</a:t>
          </a:r>
          <a:endParaRPr lang="en-US" altLang="zh-CN" sz="1100">
            <a:solidFill>
              <a:sysClr val="windowText" lastClr="000000"/>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xdr:colOff>
      <xdr:row>1</xdr:row>
      <xdr:rowOff>7619</xdr:rowOff>
    </xdr:from>
    <xdr:to>
      <xdr:col>19</xdr:col>
      <xdr:colOff>251460</xdr:colOff>
      <xdr:row>11</xdr:row>
      <xdr:rowOff>139147</xdr:rowOff>
    </xdr:to>
    <xdr:sp macro="" textlink="">
      <xdr:nvSpPr>
        <xdr:cNvPr id="2" name="矩形 1">
          <a:extLst>
            <a:ext uri="{FF2B5EF4-FFF2-40B4-BE49-F238E27FC236}">
              <a16:creationId xmlns:a16="http://schemas.microsoft.com/office/drawing/2014/main" id="{4E51D167-DE9F-48B7-B620-57C935863B11}"/>
            </a:ext>
          </a:extLst>
        </xdr:cNvPr>
        <xdr:cNvSpPr/>
      </xdr:nvSpPr>
      <xdr:spPr>
        <a:xfrm>
          <a:off x="7960912" y="193149"/>
          <a:ext cx="5715000" cy="1986833"/>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rgbClr val="0070C0"/>
              </a:solidFill>
            </a:rPr>
            <a:t>公式</a:t>
          </a:r>
          <a:endParaRPr lang="zh-CN" altLang="en-US" sz="1100">
            <a:solidFill>
              <a:srgbClr val="0070C0"/>
            </a:solidFill>
          </a:endParaRPr>
        </a:p>
        <a:p>
          <a:pPr algn="l"/>
          <a:r>
            <a:rPr lang="zh-CN" altLang="en-US" sz="1100" b="0">
              <a:solidFill>
                <a:sysClr val="windowText" lastClr="000000"/>
              </a:solidFill>
            </a:rPr>
            <a:t>新入职人员变动率 </a:t>
          </a:r>
          <a:r>
            <a:rPr lang="en-US" altLang="zh-CN" sz="1100" b="0">
              <a:solidFill>
                <a:sysClr val="windowText" lastClr="000000"/>
              </a:solidFill>
            </a:rPr>
            <a:t>= 2017</a:t>
          </a:r>
          <a:r>
            <a:rPr lang="zh-CN" altLang="en-US" sz="1100" b="0">
              <a:solidFill>
                <a:sysClr val="windowText" lastClr="000000"/>
              </a:solidFill>
            </a:rPr>
            <a:t>年新入职人数总数</a:t>
          </a:r>
          <a:r>
            <a:rPr lang="en-US" altLang="zh-CN" sz="1100" b="0">
              <a:solidFill>
                <a:sysClr val="windowText" lastClr="000000"/>
              </a:solidFill>
            </a:rPr>
            <a:t>/</a:t>
          </a:r>
          <a:r>
            <a:rPr lang="zh-CN" altLang="en-US" sz="1100" b="0">
              <a:solidFill>
                <a:sysClr val="windowText" lastClr="000000"/>
              </a:solidFill>
            </a:rPr>
            <a:t>（</a:t>
          </a:r>
          <a:r>
            <a:rPr lang="en-US" altLang="zh-CN" sz="1100" b="0">
              <a:solidFill>
                <a:sysClr val="windowText" lastClr="000000"/>
              </a:solidFill>
            </a:rPr>
            <a:t>(2016</a:t>
          </a:r>
          <a:r>
            <a:rPr lang="zh-CN" altLang="en-US" sz="1100" b="0">
              <a:solidFill>
                <a:sysClr val="windowText" lastClr="000000"/>
              </a:solidFill>
            </a:rPr>
            <a:t>年底员工总数</a:t>
          </a:r>
          <a:r>
            <a:rPr lang="en-US" altLang="zh-CN" sz="1100" b="0">
              <a:solidFill>
                <a:sysClr val="windowText" lastClr="000000"/>
              </a:solidFill>
            </a:rPr>
            <a:t>+2017</a:t>
          </a:r>
          <a:r>
            <a:rPr lang="zh-CN" altLang="en-US" sz="1100" b="0">
              <a:solidFill>
                <a:sysClr val="windowText" lastClr="000000"/>
              </a:solidFill>
            </a:rPr>
            <a:t>年底员工总数</a:t>
          </a:r>
          <a:r>
            <a:rPr lang="en-US" altLang="zh-CN" sz="1100" b="0">
              <a:solidFill>
                <a:sysClr val="windowText" lastClr="000000"/>
              </a:solidFill>
            </a:rPr>
            <a:t>)/2</a:t>
          </a:r>
          <a:r>
            <a:rPr lang="zh-CN" altLang="en-US" sz="1100" b="0">
              <a:solidFill>
                <a:sysClr val="windowText" lastClr="000000"/>
              </a:solidFill>
            </a:rPr>
            <a:t>）</a:t>
          </a:r>
        </a:p>
        <a:p>
          <a:pPr algn="l"/>
          <a:r>
            <a:rPr lang="zh-CN" altLang="en-US" sz="1100" b="0">
              <a:solidFill>
                <a:sysClr val="windowText" lastClr="000000"/>
              </a:solidFill>
            </a:rPr>
            <a:t>离职人员变动率 </a:t>
          </a:r>
          <a:r>
            <a:rPr lang="en-US" altLang="zh-CN" sz="1100">
              <a:solidFill>
                <a:sysClr val="windowText" lastClr="000000"/>
              </a:solidFill>
            </a:rPr>
            <a:t>= 2017</a:t>
          </a:r>
          <a:r>
            <a:rPr lang="zh-CN" altLang="en-US" sz="1100">
              <a:solidFill>
                <a:sysClr val="windowText" lastClr="000000"/>
              </a:solidFill>
            </a:rPr>
            <a:t>年离职人数总数</a:t>
          </a:r>
          <a:r>
            <a:rPr lang="en-US" altLang="zh-CN" sz="1100">
              <a:solidFill>
                <a:sysClr val="windowText" lastClr="000000"/>
              </a:solidFill>
            </a:rPr>
            <a:t>/</a:t>
          </a:r>
          <a:r>
            <a:rPr lang="zh-CN" altLang="en-US" sz="1100">
              <a:solidFill>
                <a:sysClr val="windowText" lastClr="000000"/>
              </a:solidFill>
            </a:rPr>
            <a:t>（</a:t>
          </a:r>
          <a:r>
            <a:rPr lang="en-US" altLang="zh-CN" sz="1100">
              <a:solidFill>
                <a:sysClr val="windowText" lastClr="000000"/>
              </a:solidFill>
            </a:rPr>
            <a:t>(2016</a:t>
          </a:r>
          <a:r>
            <a:rPr lang="zh-CN" altLang="en-US" sz="1100">
              <a:solidFill>
                <a:sysClr val="windowText" lastClr="000000"/>
              </a:solidFill>
            </a:rPr>
            <a:t>年底员工总数</a:t>
          </a:r>
          <a:r>
            <a:rPr lang="en-US" altLang="zh-CN" sz="1100">
              <a:solidFill>
                <a:sysClr val="windowText" lastClr="000000"/>
              </a:solidFill>
            </a:rPr>
            <a:t>+2017</a:t>
          </a:r>
          <a:r>
            <a:rPr lang="zh-CN" altLang="en-US" sz="1100">
              <a:solidFill>
                <a:sysClr val="windowText" lastClr="000000"/>
              </a:solidFill>
            </a:rPr>
            <a:t>年底员工总数</a:t>
          </a:r>
          <a:r>
            <a:rPr lang="en-US" altLang="zh-CN" sz="1100">
              <a:solidFill>
                <a:sysClr val="windowText" lastClr="000000"/>
              </a:solidFill>
            </a:rPr>
            <a:t>)/2</a:t>
          </a:r>
          <a:r>
            <a:rPr lang="zh-CN" altLang="en-US" sz="1100">
              <a:solidFill>
                <a:sysClr val="windowText" lastClr="000000"/>
              </a:solidFill>
            </a:rPr>
            <a:t>）</a:t>
          </a:r>
          <a:endParaRPr lang="en-US" altLang="zh-CN" sz="1100">
            <a:solidFill>
              <a:sysClr val="windowText" lastClr="000000"/>
            </a:solidFill>
          </a:endParaRPr>
        </a:p>
        <a:p>
          <a:pPr algn="l"/>
          <a:endParaRPr lang="en-US" altLang="zh-CN" sz="1100">
            <a:solidFill>
              <a:sysClr val="windowText" lastClr="000000"/>
            </a:solidFill>
          </a:endParaRPr>
        </a:p>
        <a:p>
          <a:pPr algn="l"/>
          <a:r>
            <a:rPr lang="zh-CN" altLang="en-US" sz="1100" b="1">
              <a:solidFill>
                <a:srgbClr val="0070C0"/>
              </a:solidFill>
            </a:rPr>
            <a:t>总结</a:t>
          </a:r>
        </a:p>
        <a:p>
          <a:pPr algn="l"/>
          <a:r>
            <a:rPr lang="en-US" altLang="zh-CN" sz="1100">
              <a:solidFill>
                <a:sysClr val="windowText" lastClr="000000"/>
              </a:solidFill>
            </a:rPr>
            <a:t>1</a:t>
          </a:r>
          <a:r>
            <a:rPr lang="zh-CN" altLang="en-US" sz="1100">
              <a:solidFill>
                <a:sysClr val="windowText" lastClr="000000"/>
              </a:solidFill>
            </a:rPr>
            <a:t>）核心部门新入职和离职员工，</a:t>
          </a:r>
          <a:r>
            <a:rPr lang="en-US" altLang="zh-CN" sz="1100">
              <a:solidFill>
                <a:sysClr val="windowText" lastClr="000000"/>
              </a:solidFill>
            </a:rPr>
            <a:t>2014-2016</a:t>
          </a:r>
          <a:r>
            <a:rPr lang="zh-CN" altLang="en-US" sz="1100">
              <a:solidFill>
                <a:sysClr val="windowText" lastClr="000000"/>
              </a:solidFill>
            </a:rPr>
            <a:t>年合计新入职</a:t>
          </a:r>
          <a:r>
            <a:rPr lang="en-US" altLang="zh-CN" sz="1100">
              <a:solidFill>
                <a:sysClr val="windowText" lastClr="000000"/>
              </a:solidFill>
            </a:rPr>
            <a:t>XX</a:t>
          </a:r>
          <a:r>
            <a:rPr lang="zh-CN" altLang="en-US" sz="1100">
              <a:solidFill>
                <a:sysClr val="windowText" lastClr="000000"/>
              </a:solidFill>
            </a:rPr>
            <a:t>人，年新入职</a:t>
          </a:r>
          <a:r>
            <a:rPr lang="en-US" altLang="zh-CN" sz="1100">
              <a:solidFill>
                <a:sysClr val="windowText" lastClr="000000"/>
              </a:solidFill>
            </a:rPr>
            <a:t>XX</a:t>
          </a:r>
          <a:r>
            <a:rPr lang="zh-CN" altLang="en-US" sz="1100">
              <a:solidFill>
                <a:sysClr val="windowText" lastClr="000000"/>
              </a:solidFill>
            </a:rPr>
            <a:t>人，年新入职变动率</a:t>
          </a:r>
          <a:r>
            <a:rPr lang="en-US" altLang="zh-CN" sz="1100">
              <a:solidFill>
                <a:sysClr val="windowText" lastClr="000000"/>
              </a:solidFill>
            </a:rPr>
            <a:t>XX%</a:t>
          </a:r>
          <a:r>
            <a:rPr lang="zh-CN" altLang="en-US" sz="1100">
              <a:solidFill>
                <a:sysClr val="windowText" lastClr="000000"/>
              </a:solidFill>
            </a:rPr>
            <a:t>；离职</a:t>
          </a:r>
          <a:r>
            <a:rPr lang="en-US" altLang="zh-CN" sz="1100">
              <a:solidFill>
                <a:sysClr val="windowText" lastClr="000000"/>
              </a:solidFill>
            </a:rPr>
            <a:t>XX</a:t>
          </a:r>
          <a:r>
            <a:rPr lang="zh-CN" altLang="en-US" sz="1100">
              <a:solidFill>
                <a:sysClr val="windowText" lastClr="000000"/>
              </a:solidFill>
            </a:rPr>
            <a:t>人，年离职</a:t>
          </a:r>
          <a:r>
            <a:rPr lang="en-US" altLang="zh-CN" sz="1100">
              <a:solidFill>
                <a:sysClr val="windowText" lastClr="000000"/>
              </a:solidFill>
            </a:rPr>
            <a:t>XX</a:t>
          </a:r>
          <a:r>
            <a:rPr lang="zh-CN" altLang="en-US" sz="1100">
              <a:solidFill>
                <a:sysClr val="windowText" lastClr="000000"/>
              </a:solidFill>
            </a:rPr>
            <a:t>人，年离职变动率</a:t>
          </a:r>
          <a:r>
            <a:rPr lang="en-US" altLang="zh-CN" sz="1100">
              <a:solidFill>
                <a:sysClr val="windowText" lastClr="000000"/>
              </a:solidFill>
            </a:rPr>
            <a:t>XX%</a:t>
          </a:r>
          <a:r>
            <a:rPr lang="zh-CN" altLang="en-US" sz="1100">
              <a:solidFill>
                <a:sysClr val="windowText" lastClr="000000"/>
              </a:solidFill>
            </a:rPr>
            <a:t>。根据统计，总体变动率在合理范围内。</a:t>
          </a:r>
        </a:p>
        <a:p>
          <a:pPr algn="l"/>
          <a:endParaRPr lang="zh-CN" altLang="en-US"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）分析人数、工资的变化对业务、财务、生产的影响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182432</xdr:colOff>
      <xdr:row>1</xdr:row>
      <xdr:rowOff>43927</xdr:rowOff>
    </xdr:from>
    <xdr:to>
      <xdr:col>2</xdr:col>
      <xdr:colOff>91888</xdr:colOff>
      <xdr:row>11</xdr:row>
      <xdr:rowOff>22860</xdr:rowOff>
    </xdr:to>
    <xdr:sp macro="" textlink="">
      <xdr:nvSpPr>
        <xdr:cNvPr id="2" name="矩形 1">
          <a:extLst>
            <a:ext uri="{FF2B5EF4-FFF2-40B4-BE49-F238E27FC236}">
              <a16:creationId xmlns:a16="http://schemas.microsoft.com/office/drawing/2014/main" id="{8C06FF2E-CF2A-4F24-AC29-044CD791113D}"/>
            </a:ext>
          </a:extLst>
        </xdr:cNvPr>
        <xdr:cNvSpPr/>
      </xdr:nvSpPr>
      <xdr:spPr>
        <a:xfrm>
          <a:off x="182432" y="226807"/>
          <a:ext cx="8108576" cy="1807733"/>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客户访谈目的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、判断订单业绩的真伪；</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、关键决策者（出钱的）</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、关键使用人</a:t>
          </a:r>
          <a:endParaRPr lang="en-US" altLang="zh-CN" sz="1100">
            <a:solidFill>
              <a:sysClr val="windowText" lastClr="000000"/>
            </a:solidFill>
            <a:latin typeface="+mn-lt"/>
            <a:ea typeface="+mn-ea"/>
            <a:cs typeface="+mn-cs"/>
          </a:endParaRPr>
        </a:p>
      </xdr:txBody>
    </xdr:sp>
    <xdr:clientData/>
  </xdr:twoCellAnchor>
  <xdr:twoCellAnchor>
    <xdr:from>
      <xdr:col>1</xdr:col>
      <xdr:colOff>0</xdr:colOff>
      <xdr:row>38</xdr:row>
      <xdr:rowOff>1</xdr:rowOff>
    </xdr:from>
    <xdr:to>
      <xdr:col>2</xdr:col>
      <xdr:colOff>107576</xdr:colOff>
      <xdr:row>47</xdr:row>
      <xdr:rowOff>129541</xdr:rowOff>
    </xdr:to>
    <xdr:sp macro="" textlink="">
      <xdr:nvSpPr>
        <xdr:cNvPr id="3" name="矩形 2">
          <a:extLst>
            <a:ext uri="{FF2B5EF4-FFF2-40B4-BE49-F238E27FC236}">
              <a16:creationId xmlns:a16="http://schemas.microsoft.com/office/drawing/2014/main" id="{4A9A0209-6E0E-4B26-93CF-C7A4D3450FB9}"/>
            </a:ext>
          </a:extLst>
        </xdr:cNvPr>
        <xdr:cNvSpPr/>
      </xdr:nvSpPr>
      <xdr:spPr>
        <a:xfrm>
          <a:off x="198120" y="6949441"/>
          <a:ext cx="8108576" cy="177546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供应商访谈目的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、判断采购与销售订单的匹配度，验证业绩真伪；</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、关键销售经理、总监</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、企业负责人</a:t>
          </a:r>
          <a:endParaRPr lang="en-US" altLang="zh-CN" sz="1100">
            <a:solidFill>
              <a:sysClr val="windowText" lastClr="000000"/>
            </a:solidFill>
            <a:latin typeface="+mn-lt"/>
            <a:ea typeface="+mn-ea"/>
            <a:cs typeface="+mn-cs"/>
          </a:endParaRPr>
        </a:p>
      </xdr:txBody>
    </xdr:sp>
    <xdr:clientData/>
  </xdr:twoCellAnchor>
  <xdr:twoCellAnchor>
    <xdr:from>
      <xdr:col>1</xdr:col>
      <xdr:colOff>22860</xdr:colOff>
      <xdr:row>71</xdr:row>
      <xdr:rowOff>114300</xdr:rowOff>
    </xdr:from>
    <xdr:to>
      <xdr:col>2</xdr:col>
      <xdr:colOff>130436</xdr:colOff>
      <xdr:row>79</xdr:row>
      <xdr:rowOff>121920</xdr:rowOff>
    </xdr:to>
    <xdr:sp macro="" textlink="">
      <xdr:nvSpPr>
        <xdr:cNvPr id="4" name="矩形 3">
          <a:extLst>
            <a:ext uri="{FF2B5EF4-FFF2-40B4-BE49-F238E27FC236}">
              <a16:creationId xmlns:a16="http://schemas.microsoft.com/office/drawing/2014/main" id="{311859A1-C81F-46DC-A25B-0B267ADF9A65}"/>
            </a:ext>
          </a:extLst>
        </xdr:cNvPr>
        <xdr:cNvSpPr/>
      </xdr:nvSpPr>
      <xdr:spPr>
        <a:xfrm>
          <a:off x="220980" y="12915900"/>
          <a:ext cx="8108576" cy="147066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竞争对手访谈目的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、普通员工、高管、企业负责人</a:t>
          </a:r>
          <a:endParaRPr lang="en-US" altLang="zh-CN" sz="1100">
            <a:solidFill>
              <a:sysClr val="windowText" lastClr="000000"/>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324523</xdr:colOff>
      <xdr:row>204</xdr:row>
      <xdr:rowOff>73958</xdr:rowOff>
    </xdr:from>
    <xdr:to>
      <xdr:col>15</xdr:col>
      <xdr:colOff>275688</xdr:colOff>
      <xdr:row>218</xdr:row>
      <xdr:rowOff>152400</xdr:rowOff>
    </xdr:to>
    <xdr:pic>
      <xdr:nvPicPr>
        <xdr:cNvPr id="6" name="图片 5">
          <a:extLst>
            <a:ext uri="{FF2B5EF4-FFF2-40B4-BE49-F238E27FC236}">
              <a16:creationId xmlns:a16="http://schemas.microsoft.com/office/drawing/2014/main" id="{23259946-AC3C-43E0-B0A2-E78B2E588E9F}"/>
            </a:ext>
          </a:extLst>
        </xdr:cNvPr>
        <xdr:cNvPicPr>
          <a:picLocks noChangeAspect="1"/>
        </xdr:cNvPicPr>
      </xdr:nvPicPr>
      <xdr:blipFill rotWithShape="1">
        <a:blip xmlns:r="http://schemas.openxmlformats.org/officeDocument/2006/relationships" r:embed="rId1"/>
        <a:srcRect l="1938" t="3767" r="2775" b="8589"/>
        <a:stretch/>
      </xdr:blipFill>
      <xdr:spPr>
        <a:xfrm>
          <a:off x="6534823" y="33723878"/>
          <a:ext cx="5734745" cy="2638762"/>
        </a:xfrm>
        <a:prstGeom prst="rect">
          <a:avLst/>
        </a:prstGeom>
      </xdr:spPr>
    </xdr:pic>
    <xdr:clientData/>
  </xdr:twoCellAnchor>
  <xdr:twoCellAnchor editAs="oneCell">
    <xdr:from>
      <xdr:col>1</xdr:col>
      <xdr:colOff>7621</xdr:colOff>
      <xdr:row>204</xdr:row>
      <xdr:rowOff>132229</xdr:rowOff>
    </xdr:from>
    <xdr:to>
      <xdr:col>6</xdr:col>
      <xdr:colOff>716280</xdr:colOff>
      <xdr:row>219</xdr:row>
      <xdr:rowOff>129562</xdr:rowOff>
    </xdr:to>
    <xdr:pic>
      <xdr:nvPicPr>
        <xdr:cNvPr id="7" name="图片 6">
          <a:extLst>
            <a:ext uri="{FF2B5EF4-FFF2-40B4-BE49-F238E27FC236}">
              <a16:creationId xmlns:a16="http://schemas.microsoft.com/office/drawing/2014/main" id="{49B64F57-A5E2-43C8-B470-B9E561223D3F}"/>
            </a:ext>
          </a:extLst>
        </xdr:cNvPr>
        <xdr:cNvPicPr>
          <a:picLocks noChangeAspect="1"/>
        </xdr:cNvPicPr>
      </xdr:nvPicPr>
      <xdr:blipFill rotWithShape="1">
        <a:blip xmlns:r="http://schemas.openxmlformats.org/officeDocument/2006/relationships" r:embed="rId2"/>
        <a:srcRect l="1361" t="4552" r="3848" b="5699"/>
        <a:stretch/>
      </xdr:blipFill>
      <xdr:spPr>
        <a:xfrm>
          <a:off x="457201" y="33782149"/>
          <a:ext cx="5730239" cy="2740533"/>
        </a:xfrm>
        <a:prstGeom prst="rect">
          <a:avLst/>
        </a:prstGeom>
      </xdr:spPr>
    </xdr:pic>
    <xdr:clientData/>
  </xdr:twoCellAnchor>
  <xdr:twoCellAnchor>
    <xdr:from>
      <xdr:col>1</xdr:col>
      <xdr:colOff>0</xdr:colOff>
      <xdr:row>107</xdr:row>
      <xdr:rowOff>22860</xdr:rowOff>
    </xdr:from>
    <xdr:to>
      <xdr:col>7</xdr:col>
      <xdr:colOff>723900</xdr:colOff>
      <xdr:row>110</xdr:row>
      <xdr:rowOff>160020</xdr:rowOff>
    </xdr:to>
    <xdr:sp macro="" textlink="">
      <xdr:nvSpPr>
        <xdr:cNvPr id="9" name="矩形 8">
          <a:extLst>
            <a:ext uri="{FF2B5EF4-FFF2-40B4-BE49-F238E27FC236}">
              <a16:creationId xmlns:a16="http://schemas.microsoft.com/office/drawing/2014/main" id="{5EB821C1-51F8-4507-B2D9-5F5A6C1980D2}"/>
            </a:ext>
          </a:extLst>
        </xdr:cNvPr>
        <xdr:cNvSpPr/>
      </xdr:nvSpPr>
      <xdr:spPr>
        <a:xfrm>
          <a:off x="396240" y="15567660"/>
          <a:ext cx="6484620" cy="68580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0">
              <a:solidFill>
                <a:sysClr val="windowText" lastClr="000000"/>
              </a:solidFill>
              <a:latin typeface="+mn-lt"/>
              <a:ea typeface="+mn-ea"/>
              <a:cs typeface="+mn-cs"/>
            </a:rPr>
            <a:t>目的：判断用户是否在合理增长 </a:t>
          </a:r>
          <a:endParaRPr lang="en-US" altLang="zh-CN"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方法：</a:t>
          </a:r>
          <a:r>
            <a:rPr lang="zh-CN" altLang="zh-CN" sz="1100" b="0">
              <a:solidFill>
                <a:sysClr val="windowText" lastClr="000000"/>
              </a:solidFill>
              <a:latin typeface="+mn-lt"/>
              <a:ea typeface="+mn-ea"/>
              <a:cs typeface="+mn-cs"/>
            </a:rPr>
            <a:t>按照不同时期进入的用户，分别考察其后续的行为情况。</a:t>
          </a:r>
          <a:endParaRPr lang="en-US" altLang="zh-CN" sz="1100" b="0">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100" b="0">
              <a:solidFill>
                <a:sysClr val="windowText" lastClr="000000"/>
              </a:solidFill>
              <a:latin typeface="+mn-lt"/>
              <a:ea typeface="+mn-ea"/>
              <a:cs typeface="+mn-cs"/>
            </a:rPr>
            <a:t>好的迹象：横向留存逐步下降到一个稳定值，不再下降。纵向留存每月提高。用户才能沉淀下来。</a:t>
          </a:r>
          <a:endParaRPr lang="en-US" altLang="zh-CN" sz="1100" b="0">
            <a:solidFill>
              <a:sysClr val="windowText" lastClr="000000"/>
            </a:solidFill>
            <a:latin typeface="+mn-lt"/>
            <a:ea typeface="+mn-ea"/>
            <a:cs typeface="+mn-cs"/>
          </a:endParaRPr>
        </a:p>
        <a:p>
          <a:pPr marL="0" indent="0" algn="l"/>
          <a:endParaRPr lang="zh-CN" altLang="en-US" sz="1100" b="0">
            <a:solidFill>
              <a:sysClr val="windowText" lastClr="000000"/>
            </a:solidFill>
            <a:latin typeface="+mn-lt"/>
            <a:ea typeface="+mn-ea"/>
            <a:cs typeface="+mn-cs"/>
          </a:endParaRPr>
        </a:p>
      </xdr:txBody>
    </xdr:sp>
    <xdr:clientData/>
  </xdr:twoCellAnchor>
  <xdr:twoCellAnchor>
    <xdr:from>
      <xdr:col>1</xdr:col>
      <xdr:colOff>22860</xdr:colOff>
      <xdr:row>87</xdr:row>
      <xdr:rowOff>45720</xdr:rowOff>
    </xdr:from>
    <xdr:to>
      <xdr:col>13</xdr:col>
      <xdr:colOff>449580</xdr:colOff>
      <xdr:row>103</xdr:row>
      <xdr:rowOff>99060</xdr:rowOff>
    </xdr:to>
    <xdr:sp macro="" textlink="">
      <xdr:nvSpPr>
        <xdr:cNvPr id="10" name="矩形 9">
          <a:extLst>
            <a:ext uri="{FF2B5EF4-FFF2-40B4-BE49-F238E27FC236}">
              <a16:creationId xmlns:a16="http://schemas.microsoft.com/office/drawing/2014/main" id="{348A7D6F-5E29-4080-BCFE-C883CFBC4BED}"/>
            </a:ext>
          </a:extLst>
        </xdr:cNvPr>
        <xdr:cNvSpPr/>
      </xdr:nvSpPr>
      <xdr:spPr>
        <a:xfrm>
          <a:off x="419100" y="8092440"/>
          <a:ext cx="10622280" cy="29794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ysClr val="windowText" lastClr="000000"/>
              </a:solidFill>
            </a:rPr>
            <a:t>四类用户的定义：</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）活跃用户：某一段时间内打开</a:t>
          </a:r>
          <a:r>
            <a:rPr lang="en-US" altLang="zh-CN" sz="1100">
              <a:solidFill>
                <a:sysClr val="windowText" lastClr="000000"/>
              </a:solidFill>
            </a:rPr>
            <a:t>/</a:t>
          </a:r>
          <a:r>
            <a:rPr lang="zh-CN" altLang="en-US" sz="1100">
              <a:solidFill>
                <a:sysClr val="windowText" lastClr="000000"/>
              </a:solidFill>
            </a:rPr>
            <a:t>使用</a:t>
          </a:r>
          <a:r>
            <a:rPr lang="en-US" altLang="zh-CN" sz="1100">
              <a:solidFill>
                <a:sysClr val="windowText" lastClr="000000"/>
              </a:solidFill>
            </a:rPr>
            <a:t>/</a:t>
          </a:r>
          <a:r>
            <a:rPr lang="zh-CN" altLang="en-US" sz="1100">
              <a:solidFill>
                <a:sysClr val="windowText" lastClr="000000"/>
              </a:solidFill>
            </a:rPr>
            <a:t>购买过产品。</a:t>
          </a:r>
          <a:br>
            <a:rPr lang="zh-CN" altLang="en-US" sz="1100">
              <a:solidFill>
                <a:sysClr val="windowText" lastClr="000000"/>
              </a:solidFill>
            </a:rPr>
          </a:br>
          <a:r>
            <a:rPr lang="en-US" altLang="zh-CN" sz="1100">
              <a:solidFill>
                <a:sysClr val="windowText" lastClr="000000"/>
              </a:solidFill>
            </a:rPr>
            <a:t>2</a:t>
          </a:r>
          <a:r>
            <a:rPr lang="zh-CN" altLang="en-US" sz="1100">
              <a:solidFill>
                <a:sysClr val="windowText" lastClr="000000"/>
              </a:solidFill>
            </a:rPr>
            <a:t>）回流用户：有一段时间没用产品，之后突然回来再次使用，则称为回流用户。回流用户是活跃用户，且是由流失用户或不活跃用户唤回而来。 </a:t>
          </a:r>
          <a:endParaRPr lang="en-US" altLang="zh-CN" sz="1100">
            <a:solidFill>
              <a:sysClr val="windowText" lastClr="000000"/>
            </a:solidFill>
          </a:endParaRPr>
        </a:p>
        <a:p>
          <a:pPr algn="l"/>
          <a:r>
            <a:rPr lang="en-US" altLang="zh-CN" sz="1100">
              <a:solidFill>
                <a:sysClr val="windowText" lastClr="000000"/>
              </a:solidFill>
            </a:rPr>
            <a:t>3</a:t>
          </a:r>
          <a:r>
            <a:rPr lang="zh-CN" altLang="en-US" sz="1100">
              <a:solidFill>
                <a:sysClr val="windowText" lastClr="000000"/>
              </a:solidFill>
            </a:rPr>
            <a:t>）不活跃用户：有一段时间没有打开产品，为了和流失区分开来，需要选择无交集的时间范围。比如流失用户是</a:t>
          </a:r>
          <a:r>
            <a:rPr lang="en-US" altLang="zh-CN" sz="1100">
              <a:solidFill>
                <a:sysClr val="windowText" lastClr="000000"/>
              </a:solidFill>
            </a:rPr>
            <a:t>60</a:t>
          </a:r>
          <a:r>
            <a:rPr lang="zh-CN" altLang="en-US" sz="1100">
              <a:solidFill>
                <a:sysClr val="windowText" lastClr="000000"/>
              </a:solidFill>
            </a:rPr>
            <a:t>天以上没打开产品，那么不活跃则是</a:t>
          </a:r>
          <a:r>
            <a:rPr lang="en-US" altLang="zh-CN" sz="1100">
              <a:solidFill>
                <a:sysClr val="windowText" lastClr="000000"/>
              </a:solidFill>
            </a:rPr>
            <a:t>0</a:t>
          </a:r>
          <a:r>
            <a:rPr lang="zh-CN" altLang="en-US" sz="1100">
              <a:solidFill>
                <a:sysClr val="windowText" lastClr="000000"/>
              </a:solidFill>
            </a:rPr>
            <a:t>～</a:t>
          </a:r>
          <a:r>
            <a:rPr lang="en-US" altLang="zh-CN" sz="1100">
              <a:solidFill>
                <a:sysClr val="windowText" lastClr="000000"/>
              </a:solidFill>
            </a:rPr>
            <a:t>60</a:t>
          </a:r>
          <a:r>
            <a:rPr lang="zh-CN" altLang="en-US" sz="1100">
              <a:solidFill>
                <a:sysClr val="windowText" lastClr="000000"/>
              </a:solidFill>
            </a:rPr>
            <a:t>天没打开。 </a:t>
          </a:r>
          <a:endParaRPr lang="en-US" altLang="zh-CN" sz="1100">
            <a:solidFill>
              <a:sysClr val="windowText" lastClr="000000"/>
            </a:solidFill>
          </a:endParaRPr>
        </a:p>
        <a:p>
          <a:pPr algn="l"/>
          <a:r>
            <a:rPr lang="en-US" altLang="zh-CN" sz="1100">
              <a:solidFill>
                <a:sysClr val="windowText" lastClr="000000"/>
              </a:solidFill>
            </a:rPr>
            <a:t>4</a:t>
          </a:r>
          <a:r>
            <a:rPr lang="zh-CN" altLang="en-US" sz="1100">
              <a:solidFill>
                <a:sysClr val="windowText" lastClr="000000"/>
              </a:solidFill>
            </a:rPr>
            <a:t>）流失用户：有一段时间没有再打开产品，可视为流失用户， 也可以认为卸载。根据产品的属性，可以按</a:t>
          </a:r>
          <a:r>
            <a:rPr lang="en-US" altLang="zh-CN" sz="1100">
              <a:solidFill>
                <a:sysClr val="windowText" lastClr="000000"/>
              </a:solidFill>
            </a:rPr>
            <a:t>30</a:t>
          </a:r>
          <a:r>
            <a:rPr lang="zh-CN" altLang="en-US" sz="1100">
              <a:solidFill>
                <a:sysClr val="windowText" lastClr="000000"/>
              </a:solidFill>
            </a:rPr>
            <a:t>天，</a:t>
          </a:r>
          <a:r>
            <a:rPr lang="en-US" altLang="zh-CN" sz="1100">
              <a:solidFill>
                <a:sysClr val="windowText" lastClr="000000"/>
              </a:solidFill>
            </a:rPr>
            <a:t>60</a:t>
          </a:r>
          <a:r>
            <a:rPr lang="zh-CN" altLang="en-US" sz="1100">
              <a:solidFill>
                <a:sysClr val="windowText" lastClr="000000"/>
              </a:solidFill>
            </a:rPr>
            <a:t>天，</a:t>
          </a:r>
          <a:r>
            <a:rPr lang="en-US" altLang="zh-CN" sz="1100">
              <a:solidFill>
                <a:sysClr val="windowText" lastClr="000000"/>
              </a:solidFill>
            </a:rPr>
            <a:t>90</a:t>
          </a:r>
          <a:r>
            <a:rPr lang="zh-CN" altLang="en-US" sz="1100">
              <a:solidFill>
                <a:sysClr val="windowText" lastClr="000000"/>
              </a:solidFill>
            </a:rPr>
            <a:t>天等划分。 </a:t>
          </a:r>
          <a:endParaRPr lang="en-US" altLang="zh-CN" sz="1100">
            <a:solidFill>
              <a:sysClr val="windowText" lastClr="000000"/>
            </a:solidFill>
          </a:endParaRPr>
        </a:p>
        <a:p>
          <a:pPr algn="l"/>
          <a:endParaRPr lang="en-US" altLang="zh-CN" sz="1100">
            <a:solidFill>
              <a:sysClr val="windowText" lastClr="000000"/>
            </a:solidFill>
          </a:endParaRPr>
        </a:p>
        <a:p>
          <a:pPr algn="l"/>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en-US" altLang="zh-CN" sz="1100">
              <a:solidFill>
                <a:sysClr val="windowText" lastClr="000000"/>
              </a:solidFill>
            </a:rPr>
            <a:t> </a:t>
          </a:r>
          <a:endParaRPr lang="zh-CN" altLang="en-US" sz="1100">
            <a:solidFill>
              <a:sysClr val="windowText" lastClr="000000"/>
            </a:solidFill>
          </a:endParaRPr>
        </a:p>
      </xdr:txBody>
    </xdr:sp>
    <xdr:clientData/>
  </xdr:twoCellAnchor>
  <xdr:twoCellAnchor editAs="oneCell">
    <xdr:from>
      <xdr:col>1</xdr:col>
      <xdr:colOff>150223</xdr:colOff>
      <xdr:row>93</xdr:row>
      <xdr:rowOff>121921</xdr:rowOff>
    </xdr:from>
    <xdr:to>
      <xdr:col>5</xdr:col>
      <xdr:colOff>167640</xdr:colOff>
      <xdr:row>99</xdr:row>
      <xdr:rowOff>114883</xdr:rowOff>
    </xdr:to>
    <xdr:pic>
      <xdr:nvPicPr>
        <xdr:cNvPr id="11" name="图片 10">
          <a:extLst>
            <a:ext uri="{FF2B5EF4-FFF2-40B4-BE49-F238E27FC236}">
              <a16:creationId xmlns:a16="http://schemas.microsoft.com/office/drawing/2014/main" id="{E98752D8-3B8F-4B76-936F-1BB0932AC124}"/>
            </a:ext>
          </a:extLst>
        </xdr:cNvPr>
        <xdr:cNvPicPr>
          <a:picLocks noChangeAspect="1"/>
        </xdr:cNvPicPr>
      </xdr:nvPicPr>
      <xdr:blipFill>
        <a:blip xmlns:r="http://schemas.openxmlformats.org/officeDocument/2006/relationships" r:embed="rId3"/>
        <a:stretch>
          <a:fillRect/>
        </a:stretch>
      </xdr:blipFill>
      <xdr:spPr>
        <a:xfrm>
          <a:off x="546463" y="9265921"/>
          <a:ext cx="4299857" cy="1090242"/>
        </a:xfrm>
        <a:prstGeom prst="rect">
          <a:avLst/>
        </a:prstGeom>
      </xdr:spPr>
    </xdr:pic>
    <xdr:clientData/>
  </xdr:twoCellAnchor>
  <xdr:twoCellAnchor editAs="oneCell">
    <xdr:from>
      <xdr:col>5</xdr:col>
      <xdr:colOff>731521</xdr:colOff>
      <xdr:row>93</xdr:row>
      <xdr:rowOff>109515</xdr:rowOff>
    </xdr:from>
    <xdr:to>
      <xdr:col>10</xdr:col>
      <xdr:colOff>52190</xdr:colOff>
      <xdr:row>102</xdr:row>
      <xdr:rowOff>152401</xdr:rowOff>
    </xdr:to>
    <xdr:pic>
      <xdr:nvPicPr>
        <xdr:cNvPr id="12" name="图片 11">
          <a:extLst>
            <a:ext uri="{FF2B5EF4-FFF2-40B4-BE49-F238E27FC236}">
              <a16:creationId xmlns:a16="http://schemas.microsoft.com/office/drawing/2014/main" id="{56A388F6-3C31-4793-A767-BA409FB04BE3}"/>
            </a:ext>
          </a:extLst>
        </xdr:cNvPr>
        <xdr:cNvPicPr>
          <a:picLocks noChangeAspect="1"/>
        </xdr:cNvPicPr>
      </xdr:nvPicPr>
      <xdr:blipFill>
        <a:blip xmlns:r="http://schemas.openxmlformats.org/officeDocument/2006/relationships" r:embed="rId4"/>
        <a:stretch>
          <a:fillRect/>
        </a:stretch>
      </xdr:blipFill>
      <xdr:spPr>
        <a:xfrm>
          <a:off x="5410201" y="12911115"/>
          <a:ext cx="3016369" cy="1688806"/>
        </a:xfrm>
        <a:prstGeom prst="rect">
          <a:avLst/>
        </a:prstGeom>
      </xdr:spPr>
    </xdr:pic>
    <xdr:clientData/>
  </xdr:twoCellAnchor>
  <xdr:twoCellAnchor>
    <xdr:from>
      <xdr:col>1</xdr:col>
      <xdr:colOff>38100</xdr:colOff>
      <xdr:row>190</xdr:row>
      <xdr:rowOff>99060</xdr:rowOff>
    </xdr:from>
    <xdr:to>
      <xdr:col>15</xdr:col>
      <xdr:colOff>548640</xdr:colOff>
      <xdr:row>203</xdr:row>
      <xdr:rowOff>167640</xdr:rowOff>
    </xdr:to>
    <xdr:sp macro="" textlink="">
      <xdr:nvSpPr>
        <xdr:cNvPr id="13" name="矩形 12">
          <a:extLst>
            <a:ext uri="{FF2B5EF4-FFF2-40B4-BE49-F238E27FC236}">
              <a16:creationId xmlns:a16="http://schemas.microsoft.com/office/drawing/2014/main" id="{33F8542C-08C9-49D7-AF8E-8D30CFE24724}"/>
            </a:ext>
          </a:extLst>
        </xdr:cNvPr>
        <xdr:cNvSpPr/>
      </xdr:nvSpPr>
      <xdr:spPr>
        <a:xfrm>
          <a:off x="487680" y="31188660"/>
          <a:ext cx="12054840" cy="24460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1">
              <a:solidFill>
                <a:sysClr val="windowText" lastClr="000000"/>
              </a:solidFill>
              <a:latin typeface="+mn-lt"/>
              <a:ea typeface="+mn-ea"/>
              <a:cs typeface="+mn-cs"/>
            </a:rPr>
            <a:t>深刻认识增长和留存的关系</a:t>
          </a:r>
          <a:r>
            <a:rPr lang="zh-CN" altLang="en-US" sz="1100" b="0">
              <a:solidFill>
                <a:sysClr val="windowText" lastClr="000000"/>
              </a:solidFill>
              <a:latin typeface="+mn-lt"/>
              <a:ea typeface="+mn-ea"/>
              <a:cs typeface="+mn-cs"/>
            </a:rPr>
            <a:t/>
          </a:r>
          <a:br>
            <a:rPr lang="zh-CN" altLang="en-US" sz="1100" b="0">
              <a:solidFill>
                <a:sysClr val="windowText" lastClr="000000"/>
              </a:solidFill>
              <a:latin typeface="+mn-lt"/>
              <a:ea typeface="+mn-ea"/>
              <a:cs typeface="+mn-cs"/>
            </a:rPr>
          </a:br>
          <a:endParaRPr lang="en-US" altLang="zh-CN" sz="1100" b="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第一张，看似增长的活跃人数</a:t>
          </a:r>
          <a:r>
            <a:rPr lang="zh-CN" altLang="en-US" sz="1100" b="0">
              <a:solidFill>
                <a:sysClr val="windowText" lastClr="000000"/>
              </a:solidFill>
              <a:latin typeface="+mn-lt"/>
              <a:ea typeface="+mn-ea"/>
              <a:cs typeface="+mn-cs"/>
            </a:rPr>
            <a:t>：横轴代表时间，纵轴代表周活跃量的总人数， 最外面的曲线代表总人数的不断增长，尤其是在初期。再看图形里面的每一个颜色，随着时间的变化而不断变细。这些不同颜色代表每周进来的用户，他们随着时间的变化慢慢流逝，最后只有一小部分群体留存下来；而最外面的曲线代表的就是留存的总人数。</a:t>
          </a:r>
          <a:endParaRPr lang="en-US" altLang="zh-CN" sz="1100" b="0">
            <a:solidFill>
              <a:sysClr val="windowText" lastClr="000000"/>
            </a:solidFill>
            <a:latin typeface="+mn-lt"/>
            <a:ea typeface="+mn-ea"/>
            <a:cs typeface="+mn-cs"/>
          </a:endParaRPr>
        </a:p>
        <a:p>
          <a:pPr marL="0" indent="0" algn="l"/>
          <a:endParaRPr lang="en-US" altLang="zh-CN"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这其实是一个留存的堆积图，把每一天的留存都堆积起来形成了周活跃用户；同时这里面有进有出，总的就是周的活跃量。 </a:t>
          </a:r>
          <a:endParaRPr lang="en-US" altLang="zh-CN" sz="1100" b="0">
            <a:solidFill>
              <a:sysClr val="windowText" lastClr="000000"/>
            </a:solidFill>
            <a:latin typeface="+mn-lt"/>
            <a:ea typeface="+mn-ea"/>
            <a:cs typeface="+mn-cs"/>
          </a:endParaRPr>
        </a:p>
        <a:p>
          <a:pPr marL="0" indent="0" algn="l"/>
          <a:endParaRPr lang="en-US" altLang="zh-CN" sz="1100" b="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第二张，真正增长的活跃人数</a:t>
          </a:r>
          <a:r>
            <a:rPr lang="zh-CN" altLang="en-US" sz="1100" b="0">
              <a:solidFill>
                <a:sysClr val="windowText" lastClr="000000"/>
              </a:solidFill>
              <a:latin typeface="+mn-lt"/>
              <a:ea typeface="+mn-ea"/>
              <a:cs typeface="+mn-cs"/>
            </a:rPr>
            <a:t>：随着时间的变化，可以看到不同层级的颜色，经过一段时间变成平稳的一条线，这说明我们的客户有一部分留存下来。这时，我们不仅有拉新拉来的新用户，也有之前留存下来的老用户，这些用户数加起来才是真正的用户增长。</a:t>
          </a:r>
          <a:endParaRPr lang="en-US" altLang="zh-CN" sz="1100" b="0">
            <a:solidFill>
              <a:sysClr val="windowText" lastClr="000000"/>
            </a:solidFill>
            <a:latin typeface="+mn-lt"/>
            <a:ea typeface="+mn-ea"/>
            <a:cs typeface="+mn-cs"/>
          </a:endParaRPr>
        </a:p>
        <a:p>
          <a:pPr marL="0" indent="0" algn="l"/>
          <a:endParaRPr lang="zh-CN" altLang="en-US"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分析上面的两条曲线，我们能发现表面上用户都在增长。但是，第一张图的用户留存是在不断减少的，而第二张用户留存在后期趋于稳定，所以总用户数在不断增长。要想实现持续的真正的增长，就要设法让用户留下来。</a:t>
          </a:r>
        </a:p>
      </xdr:txBody>
    </xdr:sp>
    <xdr:clientData/>
  </xdr:twoCellAnchor>
  <xdr:twoCellAnchor editAs="oneCell">
    <xdr:from>
      <xdr:col>6</xdr:col>
      <xdr:colOff>297180</xdr:colOff>
      <xdr:row>172</xdr:row>
      <xdr:rowOff>83820</xdr:rowOff>
    </xdr:from>
    <xdr:to>
      <xdr:col>14</xdr:col>
      <xdr:colOff>111268</xdr:colOff>
      <xdr:row>187</xdr:row>
      <xdr:rowOff>121920</xdr:rowOff>
    </xdr:to>
    <xdr:pic>
      <xdr:nvPicPr>
        <xdr:cNvPr id="14" name="图片 13" descr="C:\Users\Min\Desktop\图像 1.jpg">
          <a:extLst>
            <a:ext uri="{FF2B5EF4-FFF2-40B4-BE49-F238E27FC236}">
              <a16:creationId xmlns:a16="http://schemas.microsoft.com/office/drawing/2014/main" id="{3A9D5249-C0B9-4550-B040-C45396F2228F}"/>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68340" y="27332940"/>
          <a:ext cx="5727208" cy="2781300"/>
        </a:xfrm>
        <a:prstGeom prst="rect">
          <a:avLst/>
        </a:prstGeom>
        <a:noFill/>
        <a:ln>
          <a:noFill/>
        </a:ln>
      </xdr:spPr>
    </xdr:pic>
    <xdr:clientData/>
  </xdr:twoCellAnchor>
  <xdr:twoCellAnchor>
    <xdr:from>
      <xdr:col>1</xdr:col>
      <xdr:colOff>213360</xdr:colOff>
      <xdr:row>172</xdr:row>
      <xdr:rowOff>87630</xdr:rowOff>
    </xdr:from>
    <xdr:to>
      <xdr:col>5</xdr:col>
      <xdr:colOff>502920</xdr:colOff>
      <xdr:row>187</xdr:row>
      <xdr:rowOff>87630</xdr:rowOff>
    </xdr:to>
    <xdr:graphicFrame macro="">
      <xdr:nvGraphicFramePr>
        <xdr:cNvPr id="15" name="图表 14">
          <a:extLst>
            <a:ext uri="{FF2B5EF4-FFF2-40B4-BE49-F238E27FC236}">
              <a16:creationId xmlns:a16="http://schemas.microsoft.com/office/drawing/2014/main" id="{4B4F160C-3ED8-4D63-B0D5-4D3F6A193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xdr:row>
      <xdr:rowOff>41910</xdr:rowOff>
    </xdr:from>
    <xdr:to>
      <xdr:col>4</xdr:col>
      <xdr:colOff>365760</xdr:colOff>
      <xdr:row>46</xdr:row>
      <xdr:rowOff>9906</xdr:rowOff>
    </xdr:to>
    <xdr:graphicFrame macro="">
      <xdr:nvGraphicFramePr>
        <xdr:cNvPr id="18" name="图表 17">
          <a:extLst>
            <a:ext uri="{FF2B5EF4-FFF2-40B4-BE49-F238E27FC236}">
              <a16:creationId xmlns:a16="http://schemas.microsoft.com/office/drawing/2014/main" id="{458DA028-60AE-4C79-A280-5E81B468C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617220</xdr:colOff>
      <xdr:row>33</xdr:row>
      <xdr:rowOff>49530</xdr:rowOff>
    </xdr:from>
    <xdr:to>
      <xdr:col>10</xdr:col>
      <xdr:colOff>76200</xdr:colOff>
      <xdr:row>46</xdr:row>
      <xdr:rowOff>8382</xdr:rowOff>
    </xdr:to>
    <xdr:graphicFrame macro="">
      <xdr:nvGraphicFramePr>
        <xdr:cNvPr id="19" name="图表 18">
          <a:extLst>
            <a:ext uri="{FF2B5EF4-FFF2-40B4-BE49-F238E27FC236}">
              <a16:creationId xmlns:a16="http://schemas.microsoft.com/office/drawing/2014/main" id="{E9265EE4-1F06-46EC-8D42-DE6B6713B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289560</xdr:colOff>
      <xdr:row>33</xdr:row>
      <xdr:rowOff>41910</xdr:rowOff>
    </xdr:from>
    <xdr:to>
      <xdr:col>16</xdr:col>
      <xdr:colOff>19050</xdr:colOff>
      <xdr:row>46</xdr:row>
      <xdr:rowOff>7620</xdr:rowOff>
    </xdr:to>
    <xdr:graphicFrame macro="">
      <xdr:nvGraphicFramePr>
        <xdr:cNvPr id="20" name="图表 19">
          <a:extLst>
            <a:ext uri="{FF2B5EF4-FFF2-40B4-BE49-F238E27FC236}">
              <a16:creationId xmlns:a16="http://schemas.microsoft.com/office/drawing/2014/main" id="{78BBC688-C5BB-4C90-826B-B882E8E67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354105</xdr:colOff>
      <xdr:row>51</xdr:row>
      <xdr:rowOff>0</xdr:rowOff>
    </xdr:from>
    <xdr:to>
      <xdr:col>21</xdr:col>
      <xdr:colOff>62753</xdr:colOff>
      <xdr:row>63</xdr:row>
      <xdr:rowOff>153295</xdr:rowOff>
    </xdr:to>
    <xdr:graphicFrame macro="">
      <xdr:nvGraphicFramePr>
        <xdr:cNvPr id="22" name="图表 21">
          <a:extLst>
            <a:ext uri="{FF2B5EF4-FFF2-40B4-BE49-F238E27FC236}">
              <a16:creationId xmlns:a16="http://schemas.microsoft.com/office/drawing/2014/main" id="{EC9DA412-D500-490E-A475-2D8A368A0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282388</xdr:colOff>
      <xdr:row>51</xdr:row>
      <xdr:rowOff>0</xdr:rowOff>
    </xdr:from>
    <xdr:to>
      <xdr:col>27</xdr:col>
      <xdr:colOff>582706</xdr:colOff>
      <xdr:row>63</xdr:row>
      <xdr:rowOff>160468</xdr:rowOff>
    </xdr:to>
    <xdr:graphicFrame macro="">
      <xdr:nvGraphicFramePr>
        <xdr:cNvPr id="23" name="图表 22">
          <a:extLst>
            <a:ext uri="{FF2B5EF4-FFF2-40B4-BE49-F238E27FC236}">
              <a16:creationId xmlns:a16="http://schemas.microsoft.com/office/drawing/2014/main" id="{7AA1D822-59CA-4DD1-843A-F3A715B41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286870</xdr:colOff>
      <xdr:row>64</xdr:row>
      <xdr:rowOff>167127</xdr:rowOff>
    </xdr:from>
    <xdr:to>
      <xdr:col>28</xdr:col>
      <xdr:colOff>38847</xdr:colOff>
      <xdr:row>78</xdr:row>
      <xdr:rowOff>68516</xdr:rowOff>
    </xdr:to>
    <xdr:graphicFrame macro="">
      <xdr:nvGraphicFramePr>
        <xdr:cNvPr id="24" name="图表 23">
          <a:extLst>
            <a:ext uri="{FF2B5EF4-FFF2-40B4-BE49-F238E27FC236}">
              <a16:creationId xmlns:a16="http://schemas.microsoft.com/office/drawing/2014/main" id="{498D5A54-AFA0-497D-A7DD-6B7123BE5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7620</xdr:colOff>
      <xdr:row>30</xdr:row>
      <xdr:rowOff>137160</xdr:rowOff>
    </xdr:from>
    <xdr:to>
      <xdr:col>1</xdr:col>
      <xdr:colOff>1927860</xdr:colOff>
      <xdr:row>32</xdr:row>
      <xdr:rowOff>53340</xdr:rowOff>
    </xdr:to>
    <xdr:sp macro="" textlink="">
      <xdr:nvSpPr>
        <xdr:cNvPr id="25" name="矩形 24">
          <a:extLst>
            <a:ext uri="{FF2B5EF4-FFF2-40B4-BE49-F238E27FC236}">
              <a16:creationId xmlns:a16="http://schemas.microsoft.com/office/drawing/2014/main" id="{B91E13BA-5CA1-438C-B999-7C5425EA7671}"/>
            </a:ext>
          </a:extLst>
        </xdr:cNvPr>
        <xdr:cNvSpPr/>
      </xdr:nvSpPr>
      <xdr:spPr>
        <a:xfrm>
          <a:off x="403860" y="1783080"/>
          <a:ext cx="1920240" cy="2819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备注：</a:t>
          </a:r>
          <a:r>
            <a:rPr lang="zh-CN" altLang="en-US" sz="1100">
              <a:solidFill>
                <a:srgbClr val="FF0000"/>
              </a:solidFill>
            </a:rPr>
            <a:t>**</a:t>
          </a:r>
          <a:r>
            <a:rPr lang="zh-CN" altLang="en-US" sz="1100">
              <a:solidFill>
                <a:sysClr val="windowText" lastClr="000000"/>
              </a:solidFill>
            </a:rPr>
            <a:t>代表重要核心指标</a:t>
          </a:r>
        </a:p>
      </xdr:txBody>
    </xdr:sp>
    <xdr:clientData/>
  </xdr:twoCellAnchor>
  <xdr:twoCellAnchor>
    <xdr:from>
      <xdr:col>1</xdr:col>
      <xdr:colOff>12921</xdr:colOff>
      <xdr:row>239</xdr:row>
      <xdr:rowOff>5631</xdr:rowOff>
    </xdr:from>
    <xdr:to>
      <xdr:col>6</xdr:col>
      <xdr:colOff>613576</xdr:colOff>
      <xdr:row>242</xdr:row>
      <xdr:rowOff>66591</xdr:rowOff>
    </xdr:to>
    <xdr:sp macro="" textlink="">
      <xdr:nvSpPr>
        <xdr:cNvPr id="27" name="矩形 26">
          <a:extLst>
            <a:ext uri="{FF2B5EF4-FFF2-40B4-BE49-F238E27FC236}">
              <a16:creationId xmlns:a16="http://schemas.microsoft.com/office/drawing/2014/main" id="{649A1C90-E0A0-4641-9C6C-7E816AF2FEE6}"/>
            </a:ext>
          </a:extLst>
        </xdr:cNvPr>
        <xdr:cNvSpPr/>
      </xdr:nvSpPr>
      <xdr:spPr>
        <a:xfrm>
          <a:off x="462501" y="40056351"/>
          <a:ext cx="5622235" cy="60960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altLang="zh-CN" sz="1100" b="0">
              <a:solidFill>
                <a:sysClr val="windowText" lastClr="000000"/>
              </a:solidFill>
              <a:latin typeface="+mn-lt"/>
              <a:ea typeface="+mn-ea"/>
              <a:cs typeface="+mn-cs"/>
            </a:rPr>
            <a:t>LTV&gt;CAC</a:t>
          </a:r>
          <a:r>
            <a:rPr lang="zh-CN" altLang="en-US" sz="1100" b="0">
              <a:solidFill>
                <a:sysClr val="windowText" lastClr="000000"/>
              </a:solidFill>
              <a:latin typeface="+mn-lt"/>
              <a:ea typeface="+mn-ea"/>
              <a:cs typeface="+mn-cs"/>
            </a:rPr>
            <a:t>时模式是有可能性的，</a:t>
          </a:r>
          <a:r>
            <a:rPr lang="en-US" altLang="zh-CN" sz="1100" b="0">
              <a:solidFill>
                <a:sysClr val="windowText" lastClr="000000"/>
              </a:solidFill>
              <a:latin typeface="+mn-lt"/>
              <a:ea typeface="+mn-ea"/>
              <a:cs typeface="+mn-cs"/>
            </a:rPr>
            <a:t>LTV&lt;CAC</a:t>
          </a:r>
          <a:r>
            <a:rPr lang="zh-CN" altLang="en-US" sz="1100" b="0">
              <a:solidFill>
                <a:sysClr val="windowText" lastClr="000000"/>
              </a:solidFill>
              <a:latin typeface="+mn-lt"/>
              <a:ea typeface="+mn-ea"/>
              <a:cs typeface="+mn-cs"/>
            </a:rPr>
            <a:t>时模式是无意义的，而</a:t>
          </a:r>
          <a:r>
            <a:rPr lang="en-US" altLang="zh-CN" sz="1100" b="0">
              <a:solidFill>
                <a:sysClr val="windowText" lastClr="000000"/>
              </a:solidFill>
              <a:latin typeface="+mn-lt"/>
              <a:ea typeface="+mn-ea"/>
              <a:cs typeface="+mn-cs"/>
            </a:rPr>
            <a:t>LTV/CAC=3</a:t>
          </a:r>
          <a:r>
            <a:rPr lang="zh-CN" altLang="en-US" sz="1100" b="0">
              <a:solidFill>
                <a:sysClr val="windowText" lastClr="000000"/>
              </a:solidFill>
              <a:latin typeface="+mn-lt"/>
              <a:ea typeface="+mn-ea"/>
              <a:cs typeface="+mn-cs"/>
            </a:rPr>
            <a:t>时公司最能健康发展（小于</a:t>
          </a:r>
          <a:r>
            <a:rPr lang="en-US" altLang="zh-CN" sz="1100" b="0">
              <a:solidFill>
                <a:sysClr val="windowText" lastClr="000000"/>
              </a:solidFill>
              <a:latin typeface="+mn-lt"/>
              <a:ea typeface="+mn-ea"/>
              <a:cs typeface="+mn-cs"/>
            </a:rPr>
            <a:t>3</a:t>
          </a:r>
          <a:r>
            <a:rPr lang="zh-CN" altLang="en-US" sz="1100" b="0">
              <a:solidFill>
                <a:sysClr val="windowText" lastClr="000000"/>
              </a:solidFill>
              <a:latin typeface="+mn-lt"/>
              <a:ea typeface="+mn-ea"/>
              <a:cs typeface="+mn-cs"/>
            </a:rPr>
            <a:t>说明转化效率低，大于</a:t>
          </a:r>
          <a:r>
            <a:rPr lang="en-US" altLang="zh-CN" sz="1100" b="0">
              <a:solidFill>
                <a:sysClr val="windowText" lastClr="000000"/>
              </a:solidFill>
              <a:latin typeface="+mn-lt"/>
              <a:ea typeface="+mn-ea"/>
              <a:cs typeface="+mn-cs"/>
            </a:rPr>
            <a:t>3</a:t>
          </a:r>
          <a:r>
            <a:rPr lang="zh-CN" altLang="en-US" sz="1100" b="0">
              <a:solidFill>
                <a:sysClr val="windowText" lastClr="000000"/>
              </a:solidFill>
              <a:latin typeface="+mn-lt"/>
              <a:ea typeface="+mn-ea"/>
              <a:cs typeface="+mn-cs"/>
            </a:rPr>
            <a:t>说明在市场拓展上还太保守）。</a:t>
          </a:r>
        </a:p>
      </xdr:txBody>
    </xdr:sp>
    <xdr:clientData/>
  </xdr:twoCellAnchor>
  <xdr:twoCellAnchor>
    <xdr:from>
      <xdr:col>14</xdr:col>
      <xdr:colOff>348344</xdr:colOff>
      <xdr:row>64</xdr:row>
      <xdr:rowOff>160019</xdr:rowOff>
    </xdr:from>
    <xdr:to>
      <xdr:col>21</xdr:col>
      <xdr:colOff>41733</xdr:colOff>
      <xdr:row>77</xdr:row>
      <xdr:rowOff>130630</xdr:rowOff>
    </xdr:to>
    <xdr:graphicFrame macro="">
      <xdr:nvGraphicFramePr>
        <xdr:cNvPr id="3" name="图表 2">
          <a:extLst>
            <a:ext uri="{FF2B5EF4-FFF2-40B4-BE49-F238E27FC236}">
              <a16:creationId xmlns:a16="http://schemas.microsoft.com/office/drawing/2014/main" id="{50B6C235-6B62-427E-8875-22E440D63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182880</xdr:colOff>
      <xdr:row>255</xdr:row>
      <xdr:rowOff>57150</xdr:rowOff>
    </xdr:from>
    <xdr:to>
      <xdr:col>5</xdr:col>
      <xdr:colOff>472440</xdr:colOff>
      <xdr:row>270</xdr:row>
      <xdr:rowOff>57150</xdr:rowOff>
    </xdr:to>
    <xdr:graphicFrame macro="">
      <xdr:nvGraphicFramePr>
        <xdr:cNvPr id="8" name="图表 7">
          <a:extLst>
            <a:ext uri="{FF2B5EF4-FFF2-40B4-BE49-F238E27FC236}">
              <a16:creationId xmlns:a16="http://schemas.microsoft.com/office/drawing/2014/main" id="{4DAE0239-3FB0-4EFE-B6F1-A098E3314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457200</xdr:colOff>
      <xdr:row>255</xdr:row>
      <xdr:rowOff>19050</xdr:rowOff>
    </xdr:from>
    <xdr:to>
      <xdr:col>12</xdr:col>
      <xdr:colOff>594360</xdr:colOff>
      <xdr:row>270</xdr:row>
      <xdr:rowOff>19050</xdr:rowOff>
    </xdr:to>
    <xdr:graphicFrame macro="">
      <xdr:nvGraphicFramePr>
        <xdr:cNvPr id="16" name="图表 15">
          <a:extLst>
            <a:ext uri="{FF2B5EF4-FFF2-40B4-BE49-F238E27FC236}">
              <a16:creationId xmlns:a16="http://schemas.microsoft.com/office/drawing/2014/main" id="{BFBB6139-BA5D-4CDC-8577-08E14BFC4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845820</xdr:colOff>
      <xdr:row>3</xdr:row>
      <xdr:rowOff>7620</xdr:rowOff>
    </xdr:from>
    <xdr:to>
      <xdr:col>2</xdr:col>
      <xdr:colOff>137160</xdr:colOff>
      <xdr:row>5</xdr:row>
      <xdr:rowOff>152400</xdr:rowOff>
    </xdr:to>
    <xdr:sp macro="" textlink="">
      <xdr:nvSpPr>
        <xdr:cNvPr id="26" name="矩形 25">
          <a:extLst>
            <a:ext uri="{FF2B5EF4-FFF2-40B4-BE49-F238E27FC236}">
              <a16:creationId xmlns:a16="http://schemas.microsoft.com/office/drawing/2014/main" id="{8818C77B-D462-44A3-8D53-CB2A5B73F822}"/>
            </a:ext>
          </a:extLst>
        </xdr:cNvPr>
        <xdr:cNvSpPr/>
      </xdr:nvSpPr>
      <xdr:spPr>
        <a:xfrm>
          <a:off x="129540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用户获取</a:t>
          </a:r>
        </a:p>
      </xdr:txBody>
    </xdr:sp>
    <xdr:clientData/>
  </xdr:twoCellAnchor>
  <xdr:twoCellAnchor>
    <xdr:from>
      <xdr:col>2</xdr:col>
      <xdr:colOff>678180</xdr:colOff>
      <xdr:row>3</xdr:row>
      <xdr:rowOff>7620</xdr:rowOff>
    </xdr:from>
    <xdr:to>
      <xdr:col>4</xdr:col>
      <xdr:colOff>556260</xdr:colOff>
      <xdr:row>5</xdr:row>
      <xdr:rowOff>152400</xdr:rowOff>
    </xdr:to>
    <xdr:sp macro="" textlink="">
      <xdr:nvSpPr>
        <xdr:cNvPr id="28" name="矩形 27">
          <a:extLst>
            <a:ext uri="{FF2B5EF4-FFF2-40B4-BE49-F238E27FC236}">
              <a16:creationId xmlns:a16="http://schemas.microsoft.com/office/drawing/2014/main" id="{EC398442-4014-45B2-9F0C-6286B81480E6}"/>
            </a:ext>
          </a:extLst>
        </xdr:cNvPr>
        <xdr:cNvSpPr/>
      </xdr:nvSpPr>
      <xdr:spPr>
        <a:xfrm>
          <a:off x="319278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用户活跃</a:t>
          </a:r>
        </a:p>
      </xdr:txBody>
    </xdr:sp>
    <xdr:clientData/>
  </xdr:twoCellAnchor>
  <xdr:twoCellAnchor>
    <xdr:from>
      <xdr:col>5</xdr:col>
      <xdr:colOff>312420</xdr:colOff>
      <xdr:row>3</xdr:row>
      <xdr:rowOff>7620</xdr:rowOff>
    </xdr:from>
    <xdr:to>
      <xdr:col>7</xdr:col>
      <xdr:colOff>190500</xdr:colOff>
      <xdr:row>5</xdr:row>
      <xdr:rowOff>152400</xdr:rowOff>
    </xdr:to>
    <xdr:sp macro="" textlink="">
      <xdr:nvSpPr>
        <xdr:cNvPr id="29" name="矩形 28">
          <a:extLst>
            <a:ext uri="{FF2B5EF4-FFF2-40B4-BE49-F238E27FC236}">
              <a16:creationId xmlns:a16="http://schemas.microsoft.com/office/drawing/2014/main" id="{CFE6D7CC-912C-4159-A4A7-FE37306FC730}"/>
            </a:ext>
          </a:extLst>
        </xdr:cNvPr>
        <xdr:cNvSpPr/>
      </xdr:nvSpPr>
      <xdr:spPr>
        <a:xfrm>
          <a:off x="504444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用户留存</a:t>
          </a:r>
        </a:p>
      </xdr:txBody>
    </xdr:sp>
    <xdr:clientData/>
  </xdr:twoCellAnchor>
  <xdr:twoCellAnchor>
    <xdr:from>
      <xdr:col>8</xdr:col>
      <xdr:colOff>15240</xdr:colOff>
      <xdr:row>3</xdr:row>
      <xdr:rowOff>7620</xdr:rowOff>
    </xdr:from>
    <xdr:to>
      <xdr:col>9</xdr:col>
      <xdr:colOff>632460</xdr:colOff>
      <xdr:row>5</xdr:row>
      <xdr:rowOff>152400</xdr:rowOff>
    </xdr:to>
    <xdr:sp macro="" textlink="">
      <xdr:nvSpPr>
        <xdr:cNvPr id="30" name="矩形 29">
          <a:extLst>
            <a:ext uri="{FF2B5EF4-FFF2-40B4-BE49-F238E27FC236}">
              <a16:creationId xmlns:a16="http://schemas.microsoft.com/office/drawing/2014/main" id="{F669EE6D-C4AB-47FC-A66A-2F337C3A1D62}"/>
            </a:ext>
          </a:extLst>
        </xdr:cNvPr>
        <xdr:cNvSpPr/>
      </xdr:nvSpPr>
      <xdr:spPr>
        <a:xfrm>
          <a:off x="696468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收益</a:t>
          </a:r>
        </a:p>
      </xdr:txBody>
    </xdr:sp>
    <xdr:clientData/>
  </xdr:twoCellAnchor>
  <xdr:twoCellAnchor>
    <xdr:from>
      <xdr:col>10</xdr:col>
      <xdr:colOff>449580</xdr:colOff>
      <xdr:row>3</xdr:row>
      <xdr:rowOff>0</xdr:rowOff>
    </xdr:from>
    <xdr:to>
      <xdr:col>12</xdr:col>
      <xdr:colOff>327660</xdr:colOff>
      <xdr:row>5</xdr:row>
      <xdr:rowOff>144780</xdr:rowOff>
    </xdr:to>
    <xdr:sp macro="" textlink="">
      <xdr:nvSpPr>
        <xdr:cNvPr id="31" name="矩形 30">
          <a:extLst>
            <a:ext uri="{FF2B5EF4-FFF2-40B4-BE49-F238E27FC236}">
              <a16:creationId xmlns:a16="http://schemas.microsoft.com/office/drawing/2014/main" id="{FFD4D7BB-113D-4511-9687-8BDCBA7789D9}"/>
            </a:ext>
          </a:extLst>
        </xdr:cNvPr>
        <xdr:cNvSpPr/>
      </xdr:nvSpPr>
      <xdr:spPr>
        <a:xfrm>
          <a:off x="8877300" y="54864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口碑和传播</a:t>
          </a:r>
        </a:p>
      </xdr:txBody>
    </xdr:sp>
    <xdr:clientData/>
  </xdr:twoCellAnchor>
  <xdr:twoCellAnchor>
    <xdr:from>
      <xdr:col>2</xdr:col>
      <xdr:colOff>137160</xdr:colOff>
      <xdr:row>4</xdr:row>
      <xdr:rowOff>80010</xdr:rowOff>
    </xdr:from>
    <xdr:to>
      <xdr:col>2</xdr:col>
      <xdr:colOff>678180</xdr:colOff>
      <xdr:row>4</xdr:row>
      <xdr:rowOff>80010</xdr:rowOff>
    </xdr:to>
    <xdr:cxnSp macro="">
      <xdr:nvCxnSpPr>
        <xdr:cNvPr id="32" name="直接箭头连接符 31">
          <a:extLst>
            <a:ext uri="{FF2B5EF4-FFF2-40B4-BE49-F238E27FC236}">
              <a16:creationId xmlns:a16="http://schemas.microsoft.com/office/drawing/2014/main" id="{E2F1FD76-16D4-4876-B8F2-D1BE8B1E056F}"/>
            </a:ext>
          </a:extLst>
        </xdr:cNvPr>
        <xdr:cNvCxnSpPr>
          <a:stCxn id="26" idx="3"/>
          <a:endCxn id="28" idx="1"/>
        </xdr:cNvCxnSpPr>
      </xdr:nvCxnSpPr>
      <xdr:spPr>
        <a:xfrm>
          <a:off x="2651760" y="811530"/>
          <a:ext cx="54102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556260</xdr:colOff>
      <xdr:row>4</xdr:row>
      <xdr:rowOff>80010</xdr:rowOff>
    </xdr:from>
    <xdr:to>
      <xdr:col>5</xdr:col>
      <xdr:colOff>312420</xdr:colOff>
      <xdr:row>4</xdr:row>
      <xdr:rowOff>80010</xdr:rowOff>
    </xdr:to>
    <xdr:cxnSp macro="">
      <xdr:nvCxnSpPr>
        <xdr:cNvPr id="33" name="直接箭头连接符 32">
          <a:extLst>
            <a:ext uri="{FF2B5EF4-FFF2-40B4-BE49-F238E27FC236}">
              <a16:creationId xmlns:a16="http://schemas.microsoft.com/office/drawing/2014/main" id="{146A160F-4208-4C34-A2B8-5D0E09C6484D}"/>
            </a:ext>
          </a:extLst>
        </xdr:cNvPr>
        <xdr:cNvCxnSpPr>
          <a:stCxn id="28" idx="3"/>
          <a:endCxn id="29" idx="1"/>
        </xdr:cNvCxnSpPr>
      </xdr:nvCxnSpPr>
      <xdr:spPr>
        <a:xfrm>
          <a:off x="4549140" y="811530"/>
          <a:ext cx="4953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4</xdr:row>
      <xdr:rowOff>80010</xdr:rowOff>
    </xdr:from>
    <xdr:to>
      <xdr:col>8</xdr:col>
      <xdr:colOff>15240</xdr:colOff>
      <xdr:row>4</xdr:row>
      <xdr:rowOff>80010</xdr:rowOff>
    </xdr:to>
    <xdr:cxnSp macro="">
      <xdr:nvCxnSpPr>
        <xdr:cNvPr id="37" name="直接箭头连接符 36">
          <a:extLst>
            <a:ext uri="{FF2B5EF4-FFF2-40B4-BE49-F238E27FC236}">
              <a16:creationId xmlns:a16="http://schemas.microsoft.com/office/drawing/2014/main" id="{3C88EAE2-1D2F-4230-ACC3-E8E00EE77909}"/>
            </a:ext>
          </a:extLst>
        </xdr:cNvPr>
        <xdr:cNvCxnSpPr>
          <a:stCxn id="29" idx="3"/>
          <a:endCxn id="30" idx="1"/>
        </xdr:cNvCxnSpPr>
      </xdr:nvCxnSpPr>
      <xdr:spPr>
        <a:xfrm>
          <a:off x="6400800" y="811530"/>
          <a:ext cx="56388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632460</xdr:colOff>
      <xdr:row>4</xdr:row>
      <xdr:rowOff>72390</xdr:rowOff>
    </xdr:from>
    <xdr:to>
      <xdr:col>10</xdr:col>
      <xdr:colOff>449580</xdr:colOff>
      <xdr:row>4</xdr:row>
      <xdr:rowOff>80010</xdr:rowOff>
    </xdr:to>
    <xdr:cxnSp macro="">
      <xdr:nvCxnSpPr>
        <xdr:cNvPr id="40" name="直接箭头连接符 39">
          <a:extLst>
            <a:ext uri="{FF2B5EF4-FFF2-40B4-BE49-F238E27FC236}">
              <a16:creationId xmlns:a16="http://schemas.microsoft.com/office/drawing/2014/main" id="{08024169-BF79-46D3-B62C-E894DB015F6F}"/>
            </a:ext>
          </a:extLst>
        </xdr:cNvPr>
        <xdr:cNvCxnSpPr>
          <a:stCxn id="30" idx="3"/>
          <a:endCxn id="31" idx="1"/>
        </xdr:cNvCxnSpPr>
      </xdr:nvCxnSpPr>
      <xdr:spPr>
        <a:xfrm flipV="1">
          <a:off x="8321040" y="803910"/>
          <a:ext cx="55626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845820</xdr:colOff>
      <xdr:row>7</xdr:row>
      <xdr:rowOff>160020</xdr:rowOff>
    </xdr:from>
    <xdr:to>
      <xdr:col>12</xdr:col>
      <xdr:colOff>83820</xdr:colOff>
      <xdr:row>19</xdr:row>
      <xdr:rowOff>106680</xdr:rowOff>
    </xdr:to>
    <xdr:sp macro="" textlink="">
      <xdr:nvSpPr>
        <xdr:cNvPr id="44" name="矩形 43">
          <a:extLst>
            <a:ext uri="{FF2B5EF4-FFF2-40B4-BE49-F238E27FC236}">
              <a16:creationId xmlns:a16="http://schemas.microsoft.com/office/drawing/2014/main" id="{BB93100C-7C49-4DC1-8448-9C0621672FAC}"/>
            </a:ext>
          </a:extLst>
        </xdr:cNvPr>
        <xdr:cNvSpPr/>
      </xdr:nvSpPr>
      <xdr:spPr>
        <a:xfrm>
          <a:off x="1295400" y="1440180"/>
          <a:ext cx="8694420" cy="21412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200" b="0">
              <a:solidFill>
                <a:sysClr val="windowText" lastClr="000000"/>
              </a:solidFill>
              <a:latin typeface="+mn-lt"/>
              <a:ea typeface="+mn-ea"/>
              <a:cs typeface="+mn-cs"/>
            </a:rPr>
            <a:t>用户行为框架的目的：通过分析用户行为，侧面判断管理团队</a:t>
          </a:r>
          <a:r>
            <a:rPr lang="en-US" altLang="zh-CN" sz="1200" b="0">
              <a:solidFill>
                <a:sysClr val="windowText" lastClr="000000"/>
              </a:solidFill>
              <a:latin typeface="+mn-lt"/>
              <a:ea typeface="+mn-ea"/>
              <a:cs typeface="+mn-cs"/>
            </a:rPr>
            <a:t>+</a:t>
          </a:r>
          <a:r>
            <a:rPr lang="zh-CN" altLang="en-US" sz="1200" b="0">
              <a:solidFill>
                <a:sysClr val="windowText" lastClr="000000"/>
              </a:solidFill>
              <a:latin typeface="+mn-lt"/>
              <a:ea typeface="+mn-ea"/>
              <a:cs typeface="+mn-cs"/>
            </a:rPr>
            <a:t>财务报表的质量。</a:t>
          </a:r>
        </a:p>
        <a:p>
          <a:pPr marL="0" indent="0" algn="l"/>
          <a:endParaRPr lang="en-US" altLang="zh-CN" sz="1200" b="0">
            <a:solidFill>
              <a:sysClr val="windowText" lastClr="000000"/>
            </a:solidFill>
            <a:latin typeface="+mn-lt"/>
            <a:ea typeface="+mn-ea"/>
            <a:cs typeface="+mn-cs"/>
          </a:endParaRPr>
        </a:p>
        <a:p>
          <a:pPr marL="0" indent="0" algn="l"/>
          <a:r>
            <a:rPr lang="zh-CN" altLang="en-US" sz="1200" b="0">
              <a:solidFill>
                <a:sysClr val="windowText" lastClr="000000"/>
              </a:solidFill>
              <a:latin typeface="+mn-lt"/>
              <a:ea typeface="+mn-ea"/>
              <a:cs typeface="+mn-cs"/>
            </a:rPr>
            <a:t>指标使用提示：</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1</a:t>
          </a:r>
          <a:r>
            <a:rPr lang="zh-CN" altLang="en-US" sz="1200" b="0">
              <a:solidFill>
                <a:sysClr val="windowText" lastClr="000000"/>
              </a:solidFill>
              <a:latin typeface="+mn-lt"/>
              <a:ea typeface="+mn-ea"/>
              <a:cs typeface="+mn-cs"/>
            </a:rPr>
            <a:t>）</a:t>
          </a:r>
          <a:r>
            <a:rPr lang="en-US" altLang="zh-CN" sz="1200" b="0">
              <a:solidFill>
                <a:sysClr val="windowText" lastClr="000000"/>
              </a:solidFill>
              <a:latin typeface="+mn-lt"/>
              <a:ea typeface="+mn-ea"/>
              <a:cs typeface="+mn-cs"/>
            </a:rPr>
            <a:t>GMW</a:t>
          </a:r>
          <a:r>
            <a:rPr lang="zh-CN" altLang="en-US" sz="1200" b="0">
              <a:solidFill>
                <a:sysClr val="windowText" lastClr="000000"/>
              </a:solidFill>
              <a:latin typeface="+mn-lt"/>
              <a:ea typeface="+mn-ea"/>
              <a:cs typeface="+mn-cs"/>
            </a:rPr>
            <a:t>、注册用户数、日活用户数等指标，更多通过</a:t>
          </a:r>
          <a:r>
            <a:rPr lang="zh-CN" altLang="en-US" sz="1200" b="1" u="sng">
              <a:solidFill>
                <a:srgbClr val="0070C0"/>
              </a:solidFill>
              <a:latin typeface="+mn-lt"/>
              <a:ea typeface="+mn-ea"/>
              <a:cs typeface="+mn-cs"/>
            </a:rPr>
            <a:t>营销渠道能力驱动</a:t>
          </a:r>
          <a:r>
            <a:rPr lang="zh-CN" altLang="en-US" sz="1200" b="0">
              <a:solidFill>
                <a:sysClr val="windowText" lastClr="000000"/>
              </a:solidFill>
              <a:latin typeface="+mn-lt"/>
              <a:ea typeface="+mn-ea"/>
              <a:cs typeface="+mn-cs"/>
            </a:rPr>
            <a:t>。可通过资本和补贴强行拉升，单纯看价值不大。</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2</a:t>
          </a:r>
          <a:r>
            <a:rPr lang="zh-CN" altLang="en-US" sz="1200" b="0">
              <a:solidFill>
                <a:sysClr val="windowText" lastClr="000000"/>
              </a:solidFill>
              <a:latin typeface="+mn-lt"/>
              <a:ea typeface="+mn-ea"/>
              <a:cs typeface="+mn-cs"/>
            </a:rPr>
            <a:t>）用户留存和口碑传播，是通过</a:t>
          </a:r>
          <a:r>
            <a:rPr lang="zh-CN" altLang="en-US" sz="1200" b="1" u="sng">
              <a:solidFill>
                <a:srgbClr val="0070C0"/>
              </a:solidFill>
              <a:latin typeface="+mn-lt"/>
              <a:ea typeface="+mn-ea"/>
              <a:cs typeface="+mn-cs"/>
            </a:rPr>
            <a:t>产品和运营能力驱动</a:t>
          </a:r>
          <a:r>
            <a:rPr lang="zh-CN" altLang="en-US" sz="1200" b="0">
              <a:solidFill>
                <a:sysClr val="windowText" lastClr="000000"/>
              </a:solidFill>
              <a:latin typeface="+mn-lt"/>
              <a:ea typeface="+mn-ea"/>
              <a:cs typeface="+mn-cs"/>
            </a:rPr>
            <a:t>的。反映了公司的真正价值，是最最重要的指标，没有之一。没有用户留存和口碑传播的增长，是注定会失败的。</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3</a:t>
          </a:r>
          <a:r>
            <a:rPr lang="zh-CN" altLang="en-US" sz="1200" b="0">
              <a:solidFill>
                <a:sysClr val="windowText" lastClr="000000"/>
              </a:solidFill>
              <a:latin typeface="+mn-lt"/>
              <a:ea typeface="+mn-ea"/>
              <a:cs typeface="+mn-cs"/>
            </a:rPr>
            <a:t>）模板使用范围受限，因为很依赖真实</a:t>
          </a:r>
          <a:r>
            <a:rPr lang="en-US" altLang="zh-CN" sz="1200" b="0">
              <a:solidFill>
                <a:sysClr val="windowText" lastClr="000000"/>
              </a:solidFill>
              <a:latin typeface="+mn-lt"/>
              <a:ea typeface="+mn-ea"/>
              <a:cs typeface="+mn-cs"/>
            </a:rPr>
            <a:t>+</a:t>
          </a:r>
          <a:r>
            <a:rPr lang="zh-CN" altLang="en-US" sz="1200" b="0">
              <a:solidFill>
                <a:sysClr val="windowText" lastClr="000000"/>
              </a:solidFill>
              <a:latin typeface="+mn-lt"/>
              <a:ea typeface="+mn-ea"/>
              <a:cs typeface="+mn-cs"/>
            </a:rPr>
            <a:t>准确的数据，而很少企业能提供完整的数据。</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4</a:t>
          </a:r>
          <a:r>
            <a:rPr lang="zh-CN" altLang="en-US" sz="1200" b="0">
              <a:solidFill>
                <a:sysClr val="windowText" lastClr="000000"/>
              </a:solidFill>
              <a:latin typeface="+mn-lt"/>
              <a:ea typeface="+mn-ea"/>
              <a:cs typeface="+mn-cs"/>
            </a:rPr>
            <a:t>）很多指标的定义和判断，要根据不同行业和产品的特点，具体情况分析。例如日活跃用户，对网易云阅读，用户只要看了某本书的目录，就算是。对于电商，登陆过</a:t>
          </a:r>
          <a:r>
            <a:rPr lang="en-US" altLang="zh-CN" sz="1200" b="0">
              <a:solidFill>
                <a:sysClr val="windowText" lastClr="000000"/>
              </a:solidFill>
              <a:latin typeface="+mn-lt"/>
              <a:ea typeface="+mn-ea"/>
              <a:cs typeface="+mn-cs"/>
            </a:rPr>
            <a:t>APP</a:t>
          </a:r>
          <a:r>
            <a:rPr lang="zh-CN" altLang="en-US" sz="1200" b="0">
              <a:solidFill>
                <a:sysClr val="windowText" lastClr="000000"/>
              </a:solidFill>
              <a:latin typeface="+mn-lt"/>
              <a:ea typeface="+mn-ea"/>
              <a:cs typeface="+mn-cs"/>
            </a:rPr>
            <a:t>，或下单过。例如用户留存，母婴电商用户头两年粘性会很高，后面甚至会消失。</a:t>
          </a:r>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zh-CN" altLang="en-US" sz="1200" b="0">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134470</xdr:colOff>
      <xdr:row>203</xdr:row>
      <xdr:rowOff>161365</xdr:rowOff>
    </xdr:from>
    <xdr:to>
      <xdr:col>10</xdr:col>
      <xdr:colOff>125506</xdr:colOff>
      <xdr:row>217</xdr:row>
      <xdr:rowOff>144780</xdr:rowOff>
    </xdr:to>
    <xdr:sp macro="" textlink="">
      <xdr:nvSpPr>
        <xdr:cNvPr id="2" name="矩形 1">
          <a:extLst>
            <a:ext uri="{FF2B5EF4-FFF2-40B4-BE49-F238E27FC236}">
              <a16:creationId xmlns:a16="http://schemas.microsoft.com/office/drawing/2014/main" id="{58297AB3-D469-4D60-BFAE-88B6B81AE32B}"/>
            </a:ext>
          </a:extLst>
        </xdr:cNvPr>
        <xdr:cNvSpPr/>
      </xdr:nvSpPr>
      <xdr:spPr>
        <a:xfrm>
          <a:off x="5308450" y="27197125"/>
          <a:ext cx="5126916" cy="27266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100"/>
            <a:t>公式目的：</a:t>
          </a:r>
          <a:r>
            <a:rPr lang="zh-CN" altLang="zh-CN" sz="1100">
              <a:solidFill>
                <a:schemeClr val="lt1"/>
              </a:solidFill>
              <a:effectLst/>
              <a:latin typeface="+mn-lt"/>
              <a:ea typeface="+mn-ea"/>
              <a:cs typeface="+mn-cs"/>
            </a:rPr>
            <a:t>检查历史</a:t>
          </a:r>
          <a:r>
            <a:rPr lang="en-US" altLang="zh-CN" sz="1100">
              <a:solidFill>
                <a:schemeClr val="lt1"/>
              </a:solidFill>
              <a:effectLst/>
              <a:latin typeface="+mn-lt"/>
              <a:ea typeface="+mn-ea"/>
              <a:cs typeface="+mn-cs"/>
            </a:rPr>
            <a:t>N</a:t>
          </a:r>
          <a:r>
            <a:rPr lang="zh-CN" altLang="zh-CN" sz="1100">
              <a:solidFill>
                <a:schemeClr val="lt1"/>
              </a:solidFill>
              <a:effectLst/>
              <a:latin typeface="+mn-lt"/>
              <a:ea typeface="+mn-ea"/>
              <a:cs typeface="+mn-cs"/>
            </a:rPr>
            <a:t>年的现金流量表，比对利润，判断利润的含金量。</a:t>
          </a:r>
          <a:endParaRPr lang="zh-CN" altLang="zh-CN">
            <a:effectLst/>
          </a:endParaRPr>
        </a:p>
        <a:p>
          <a:pPr algn="l"/>
          <a:endParaRPr lang="en-US" altLang="zh-CN" sz="1100"/>
        </a:p>
        <a:p>
          <a:pPr algn="l"/>
          <a:r>
            <a:rPr lang="zh-CN" altLang="en-US" sz="1100"/>
            <a:t>方法：</a:t>
          </a:r>
          <a:endParaRPr lang="en-US" altLang="zh-CN" sz="1100"/>
        </a:p>
        <a:p>
          <a:pPr algn="l"/>
          <a:r>
            <a:rPr lang="zh-CN" altLang="en-US" sz="1100"/>
            <a:t>一、计算累计利润</a:t>
          </a:r>
          <a:endParaRPr lang="en-US" altLang="zh-CN" sz="1100"/>
        </a:p>
        <a:p>
          <a:pPr algn="l"/>
          <a:r>
            <a:rPr lang="zh-CN" altLang="en-US" sz="1100"/>
            <a:t>二、计算累计经营</a:t>
          </a:r>
          <a:r>
            <a:rPr lang="en-US" altLang="zh-CN" sz="1100"/>
            <a:t>+</a:t>
          </a:r>
          <a:r>
            <a:rPr lang="zh-CN" altLang="en-US" sz="1100"/>
            <a:t>投资</a:t>
          </a:r>
          <a:r>
            <a:rPr lang="en-US" altLang="zh-CN" sz="1100"/>
            <a:t>+</a:t>
          </a:r>
          <a:r>
            <a:rPr lang="zh-CN" altLang="en-US" sz="1100"/>
            <a:t>筹资现金流</a:t>
          </a:r>
          <a:endParaRPr lang="en-US" altLang="zh-CN" sz="1100"/>
        </a:p>
        <a:p>
          <a:pPr algn="l"/>
          <a:r>
            <a:rPr lang="zh-CN" altLang="en-US" sz="1100"/>
            <a:t>三、如上合计数，</a:t>
          </a:r>
          <a:r>
            <a:rPr lang="en-US" altLang="zh-CN" sz="1100"/>
            <a:t>-</a:t>
          </a:r>
          <a:r>
            <a:rPr lang="en-US" altLang="zh-CN" sz="1100" baseline="0"/>
            <a:t> </a:t>
          </a:r>
          <a:r>
            <a:rPr lang="zh-CN" altLang="en-US" sz="1100" baseline="0"/>
            <a:t>累计募资 </a:t>
          </a:r>
          <a:r>
            <a:rPr lang="en-US" altLang="zh-CN" sz="1100" baseline="0"/>
            <a:t>+ </a:t>
          </a:r>
          <a:r>
            <a:rPr lang="zh-CN" altLang="en-US" sz="1100" baseline="0"/>
            <a:t>回购 </a:t>
          </a:r>
          <a:r>
            <a:rPr lang="en-US" altLang="zh-CN" sz="1100" baseline="0"/>
            <a:t>+ </a:t>
          </a:r>
          <a:r>
            <a:rPr lang="zh-CN" altLang="en-US" sz="1100" baseline="0"/>
            <a:t>分红 ，就是经营所剩余的现金流。</a:t>
          </a:r>
          <a:endParaRPr lang="en-US" altLang="zh-CN" sz="1100" baseline="0"/>
        </a:p>
        <a:p>
          <a:pPr algn="l"/>
          <a:r>
            <a:rPr lang="zh-CN" altLang="en-US" sz="1100" baseline="0"/>
            <a:t>四、如剩余现金流，比利润少很多，说明利润质量差，内涵存在问题。可能需要很多投资、垫资、负债等问题。</a:t>
          </a:r>
          <a:endParaRPr lang="en-US" altLang="zh-CN" sz="1100" baseline="0"/>
        </a:p>
        <a:p>
          <a:pPr algn="l"/>
          <a:r>
            <a:rPr lang="zh-CN" altLang="en-US" sz="1100" baseline="0"/>
            <a:t>如比利润多很多，说明利润质量高，是能产生现金流的好生意。</a:t>
          </a:r>
          <a:endParaRPr lang="en-US" altLang="zh-CN" sz="1100"/>
        </a:p>
        <a:p>
          <a:pPr algn="l"/>
          <a:endParaRPr lang="en-US" altLang="zh-CN" sz="1100"/>
        </a:p>
        <a:p>
          <a:pPr algn="l"/>
          <a:endParaRPr lang="en-US" altLang="zh-CN" sz="1100"/>
        </a:p>
        <a:p>
          <a:pPr marL="0" marR="0" lvl="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注意：</a:t>
          </a:r>
          <a:r>
            <a:rPr lang="zh-CN" altLang="en-US" sz="1100">
              <a:solidFill>
                <a:schemeClr val="lt1"/>
              </a:solidFill>
              <a:effectLst/>
              <a:latin typeface="+mn-lt"/>
              <a:ea typeface="+mn-ea"/>
              <a:cs typeface="+mn-cs"/>
            </a:rPr>
            <a:t>该方法自己想的，科学性有待检验。</a:t>
          </a:r>
          <a:endParaRPr lang="en-US" altLang="zh-CN" sz="1100"/>
        </a:p>
        <a:p>
          <a:pPr algn="l"/>
          <a:endParaRPr lang="en-US" altLang="zh-CN" sz="1100"/>
        </a:p>
        <a:p>
          <a:pPr algn="l"/>
          <a:endParaRPr lang="en-US" altLang="zh-CN" sz="1100"/>
        </a:p>
        <a:p>
          <a:pPr algn="l"/>
          <a:endParaRPr lang="en-US" altLang="zh-CN" sz="1100"/>
        </a:p>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193432</xdr:colOff>
      <xdr:row>1</xdr:row>
      <xdr:rowOff>46893</xdr:rowOff>
    </xdr:from>
    <xdr:to>
      <xdr:col>8</xdr:col>
      <xdr:colOff>427891</xdr:colOff>
      <xdr:row>10</xdr:row>
      <xdr:rowOff>5861</xdr:rowOff>
    </xdr:to>
    <xdr:sp macro="" textlink="">
      <xdr:nvSpPr>
        <xdr:cNvPr id="2" name="矩形 1">
          <a:extLst>
            <a:ext uri="{FF2B5EF4-FFF2-40B4-BE49-F238E27FC236}">
              <a16:creationId xmlns:a16="http://schemas.microsoft.com/office/drawing/2014/main" id="{3B5367C6-A3FF-4E1C-8762-D2E901230F32}"/>
            </a:ext>
          </a:extLst>
        </xdr:cNvPr>
        <xdr:cNvSpPr/>
      </xdr:nvSpPr>
      <xdr:spPr>
        <a:xfrm>
          <a:off x="193432" y="184053"/>
          <a:ext cx="5385579" cy="1239128"/>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altLang="zh-CN" sz="900" b="0">
              <a:solidFill>
                <a:sysClr val="windowText" lastClr="000000"/>
              </a:solidFill>
              <a:latin typeface="+mn-lt"/>
              <a:ea typeface="+mn-ea"/>
              <a:cs typeface="+mn-cs"/>
            </a:rPr>
            <a:t>P------</a:t>
          </a:r>
          <a:r>
            <a:rPr lang="zh-CN" altLang="en-US" sz="900" b="0">
              <a:solidFill>
                <a:sysClr val="windowText" lastClr="000000"/>
              </a:solidFill>
              <a:latin typeface="+mn-lt"/>
              <a:ea typeface="+mn-ea"/>
              <a:cs typeface="+mn-cs"/>
            </a:rPr>
            <a:t>企业的评估值；</a:t>
          </a:r>
        </a:p>
        <a:p>
          <a:pPr marL="0" indent="0" algn="l"/>
          <a:r>
            <a:rPr lang="en-US" altLang="zh-CN" sz="900" b="0">
              <a:solidFill>
                <a:sysClr val="windowText" lastClr="000000"/>
              </a:solidFill>
              <a:latin typeface="+mn-lt"/>
              <a:ea typeface="+mn-ea"/>
              <a:cs typeface="+mn-cs"/>
            </a:rPr>
            <a:t>n------</a:t>
          </a:r>
          <a:r>
            <a:rPr lang="zh-CN" altLang="en-US" sz="900" b="0">
              <a:solidFill>
                <a:sysClr val="windowText" lastClr="000000"/>
              </a:solidFill>
              <a:latin typeface="+mn-lt"/>
              <a:ea typeface="+mn-ea"/>
              <a:cs typeface="+mn-cs"/>
            </a:rPr>
            <a:t>资产（企业）的寿命；</a:t>
          </a:r>
        </a:p>
        <a:p>
          <a:pPr marL="0" indent="0" algn="l"/>
          <a:r>
            <a:rPr lang="en-US" altLang="zh-CN" sz="900" b="0">
              <a:solidFill>
                <a:sysClr val="windowText" lastClr="000000"/>
              </a:solidFill>
              <a:latin typeface="+mn-lt"/>
              <a:ea typeface="+mn-ea"/>
              <a:cs typeface="+mn-cs"/>
            </a:rPr>
            <a:t>CFt-----</a:t>
          </a:r>
          <a:r>
            <a:rPr lang="zh-CN" altLang="en-US" sz="900" b="0">
              <a:solidFill>
                <a:sysClr val="windowText" lastClr="000000"/>
              </a:solidFill>
              <a:latin typeface="+mn-lt"/>
              <a:ea typeface="+mn-ea"/>
              <a:cs typeface="+mn-cs"/>
            </a:rPr>
            <a:t>资产</a:t>
          </a:r>
          <a:r>
            <a:rPr lang="en-US" altLang="zh-CN" sz="900" b="0">
              <a:solidFill>
                <a:sysClr val="windowText" lastClr="000000"/>
              </a:solidFill>
              <a:latin typeface="+mn-lt"/>
              <a:ea typeface="+mn-ea"/>
              <a:cs typeface="+mn-cs"/>
            </a:rPr>
            <a:t>(</a:t>
          </a:r>
          <a:r>
            <a:rPr lang="zh-CN" altLang="en-US" sz="900" b="0">
              <a:solidFill>
                <a:sysClr val="windowText" lastClr="000000"/>
              </a:solidFill>
              <a:latin typeface="+mn-lt"/>
              <a:ea typeface="+mn-ea"/>
              <a:cs typeface="+mn-cs"/>
            </a:rPr>
            <a:t>企业</a:t>
          </a:r>
          <a:r>
            <a:rPr lang="en-US" altLang="zh-CN" sz="900" b="0">
              <a:solidFill>
                <a:sysClr val="windowText" lastClr="000000"/>
              </a:solidFill>
              <a:latin typeface="+mn-lt"/>
              <a:ea typeface="+mn-ea"/>
              <a:cs typeface="+mn-cs"/>
            </a:rPr>
            <a:t>)</a:t>
          </a:r>
          <a:r>
            <a:rPr lang="zh-CN" altLang="en-US" sz="900" b="0">
              <a:solidFill>
                <a:sysClr val="windowText" lastClr="000000"/>
              </a:solidFill>
              <a:latin typeface="+mn-lt"/>
              <a:ea typeface="+mn-ea"/>
              <a:cs typeface="+mn-cs"/>
            </a:rPr>
            <a:t>在</a:t>
          </a:r>
          <a:r>
            <a:rPr lang="en-US" altLang="zh-CN" sz="900" b="0">
              <a:solidFill>
                <a:sysClr val="windowText" lastClr="000000"/>
              </a:solidFill>
              <a:latin typeface="+mn-lt"/>
              <a:ea typeface="+mn-ea"/>
              <a:cs typeface="+mn-cs"/>
            </a:rPr>
            <a:t>t</a:t>
          </a:r>
          <a:r>
            <a:rPr lang="zh-CN" altLang="en-US" sz="900" b="0">
              <a:solidFill>
                <a:sysClr val="windowText" lastClr="000000"/>
              </a:solidFill>
              <a:latin typeface="+mn-lt"/>
              <a:ea typeface="+mn-ea"/>
              <a:cs typeface="+mn-cs"/>
            </a:rPr>
            <a:t>时刻产生的现金流；</a:t>
          </a:r>
        </a:p>
        <a:p>
          <a:pPr marL="0" indent="0" algn="l"/>
          <a:r>
            <a:rPr lang="en-US" altLang="zh-CN" sz="900" b="0">
              <a:solidFill>
                <a:sysClr val="windowText" lastClr="000000"/>
              </a:solidFill>
              <a:latin typeface="+mn-lt"/>
              <a:ea typeface="+mn-ea"/>
              <a:cs typeface="+mn-cs"/>
            </a:rPr>
            <a:t>r------</a:t>
          </a:r>
          <a:r>
            <a:rPr lang="zh-CN" altLang="en-US" sz="900" b="0">
              <a:solidFill>
                <a:sysClr val="windowText" lastClr="000000"/>
              </a:solidFill>
              <a:latin typeface="+mn-lt"/>
              <a:ea typeface="+mn-ea"/>
              <a:cs typeface="+mn-cs"/>
            </a:rPr>
            <a:t>反映预期现金流的贴现率。</a:t>
          </a:r>
          <a:endParaRPr lang="en-US" altLang="zh-CN" sz="900" b="0">
            <a:solidFill>
              <a:sysClr val="windowText" lastClr="000000"/>
            </a:solidFill>
            <a:latin typeface="+mn-lt"/>
            <a:ea typeface="+mn-ea"/>
            <a:cs typeface="+mn-cs"/>
          </a:endParaRPr>
        </a:p>
        <a:p>
          <a:pPr marL="0" indent="0" algn="l"/>
          <a:endParaRPr lang="en-US" altLang="zh-CN" sz="900" b="0">
            <a:solidFill>
              <a:sysClr val="windowText" lastClr="000000"/>
            </a:solidFill>
            <a:latin typeface="+mn-lt"/>
            <a:ea typeface="+mn-ea"/>
            <a:cs typeface="+mn-cs"/>
          </a:endParaRPr>
        </a:p>
        <a:p>
          <a:pPr marL="0" indent="0" algn="l"/>
          <a:r>
            <a:rPr lang="zh-CN" altLang="en-US" sz="900" b="0">
              <a:solidFill>
                <a:sysClr val="windowText" lastClr="000000"/>
              </a:solidFill>
              <a:latin typeface="+mn-lt"/>
              <a:ea typeface="+mn-ea"/>
              <a:cs typeface="+mn-cs"/>
            </a:rPr>
            <a:t>备注：由于企业经营的不确定性是客观存在的，当企业未来收益的风险较高时，贴现率也应较高，当未来收益的风险较低时，贴现率也应较低。</a:t>
          </a:r>
        </a:p>
      </xdr:txBody>
    </xdr:sp>
    <xdr:clientData/>
  </xdr:twoCellAnchor>
  <xdr:twoCellAnchor editAs="oneCell">
    <xdr:from>
      <xdr:col>4</xdr:col>
      <xdr:colOff>70338</xdr:colOff>
      <xdr:row>2</xdr:row>
      <xdr:rowOff>111370</xdr:rowOff>
    </xdr:from>
    <xdr:to>
      <xdr:col>5</xdr:col>
      <xdr:colOff>609600</xdr:colOff>
      <xdr:row>6</xdr:row>
      <xdr:rowOff>27903</xdr:rowOff>
    </xdr:to>
    <xdr:pic>
      <xdr:nvPicPr>
        <xdr:cNvPr id="3" name="图片 2" descr="\mathbf{P=\sum_{t=1}^n \frac{C\bullet F_t}{(1+r)^t} }">
          <a:extLst>
            <a:ext uri="{FF2B5EF4-FFF2-40B4-BE49-F238E27FC236}">
              <a16:creationId xmlns:a16="http://schemas.microsoft.com/office/drawing/2014/main" id="{63981543-9897-462A-8465-10AF0E0C5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3498" y="385690"/>
          <a:ext cx="1194582" cy="465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519113</xdr:colOff>
      <xdr:row>79</xdr:row>
      <xdr:rowOff>14287</xdr:rowOff>
    </xdr:from>
    <xdr:to>
      <xdr:col>3</xdr:col>
      <xdr:colOff>466725</xdr:colOff>
      <xdr:row>83</xdr:row>
      <xdr:rowOff>128587</xdr:rowOff>
    </xdr:to>
    <xdr:cxnSp macro="">
      <xdr:nvCxnSpPr>
        <xdr:cNvPr id="10" name="直接箭头连接符 9">
          <a:extLst>
            <a:ext uri="{FF2B5EF4-FFF2-40B4-BE49-F238E27FC236}">
              <a16:creationId xmlns:a16="http://schemas.microsoft.com/office/drawing/2014/main" id="{4B51CE73-DC2A-4A0C-8706-14A1FB370DE3}"/>
            </a:ext>
          </a:extLst>
        </xdr:cNvPr>
        <xdr:cNvCxnSpPr/>
      </xdr:nvCxnSpPr>
      <xdr:spPr>
        <a:xfrm>
          <a:off x="1614488" y="8620125"/>
          <a:ext cx="557212"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80</xdr:row>
      <xdr:rowOff>9525</xdr:rowOff>
    </xdr:from>
    <xdr:to>
      <xdr:col>10</xdr:col>
      <xdr:colOff>447676</xdr:colOff>
      <xdr:row>83</xdr:row>
      <xdr:rowOff>114300</xdr:rowOff>
    </xdr:to>
    <xdr:cxnSp macro="">
      <xdr:nvCxnSpPr>
        <xdr:cNvPr id="12" name="直接箭头连接符 11">
          <a:extLst>
            <a:ext uri="{FF2B5EF4-FFF2-40B4-BE49-F238E27FC236}">
              <a16:creationId xmlns:a16="http://schemas.microsoft.com/office/drawing/2014/main" id="{A993F75D-4EDA-486A-AA99-D47C0EC47508}"/>
            </a:ext>
          </a:extLst>
        </xdr:cNvPr>
        <xdr:cNvCxnSpPr/>
      </xdr:nvCxnSpPr>
      <xdr:spPr>
        <a:xfrm flipH="1">
          <a:off x="2857500" y="8753475"/>
          <a:ext cx="3957639" cy="5191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47295</xdr:colOff>
      <xdr:row>61</xdr:row>
      <xdr:rowOff>30294</xdr:rowOff>
    </xdr:from>
    <xdr:to>
      <xdr:col>6</xdr:col>
      <xdr:colOff>5255</xdr:colOff>
      <xdr:row>70</xdr:row>
      <xdr:rowOff>113760</xdr:rowOff>
    </xdr:to>
    <xdr:pic>
      <xdr:nvPicPr>
        <xdr:cNvPr id="5" name="图片 4">
          <a:extLst>
            <a:ext uri="{FF2B5EF4-FFF2-40B4-BE49-F238E27FC236}">
              <a16:creationId xmlns:a16="http://schemas.microsoft.com/office/drawing/2014/main" id="{7EFDA5D7-2432-484A-8584-A5D5521FF9EA}"/>
            </a:ext>
          </a:extLst>
        </xdr:cNvPr>
        <xdr:cNvPicPr>
          <a:picLocks noChangeAspect="1"/>
        </xdr:cNvPicPr>
      </xdr:nvPicPr>
      <xdr:blipFill>
        <a:blip xmlns:r="http://schemas.openxmlformats.org/officeDocument/2006/relationships" r:embed="rId2"/>
        <a:stretch>
          <a:fillRect/>
        </a:stretch>
      </xdr:blipFill>
      <xdr:spPr>
        <a:xfrm>
          <a:off x="1145626" y="8412294"/>
          <a:ext cx="2790498" cy="1313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303626</xdr:colOff>
      <xdr:row>1</xdr:row>
      <xdr:rowOff>31066</xdr:rowOff>
    </xdr:from>
    <xdr:to>
      <xdr:col>11</xdr:col>
      <xdr:colOff>128952</xdr:colOff>
      <xdr:row>6</xdr:row>
      <xdr:rowOff>134816</xdr:rowOff>
    </xdr:to>
    <xdr:sp macro="" textlink="">
      <xdr:nvSpPr>
        <xdr:cNvPr id="2" name="矩形 1">
          <a:extLst>
            <a:ext uri="{FF2B5EF4-FFF2-40B4-BE49-F238E27FC236}">
              <a16:creationId xmlns:a16="http://schemas.microsoft.com/office/drawing/2014/main" id="{07A6D7D2-6747-4C32-8BE9-C14B84B01EEB}"/>
            </a:ext>
          </a:extLst>
        </xdr:cNvPr>
        <xdr:cNvSpPr/>
      </xdr:nvSpPr>
      <xdr:spPr>
        <a:xfrm>
          <a:off x="303626" y="212774"/>
          <a:ext cx="5886157" cy="1012288"/>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altLang="zh-CN" sz="900" b="1">
              <a:solidFill>
                <a:sysClr val="windowText" lastClr="000000"/>
              </a:solidFill>
              <a:latin typeface="+mn-lt"/>
              <a:ea typeface="+mn-ea"/>
              <a:cs typeface="+mn-cs"/>
            </a:rPr>
            <a:t>IRR</a:t>
          </a:r>
          <a:r>
            <a:rPr lang="zh-CN" altLang="en-US" sz="900" b="1">
              <a:solidFill>
                <a:sysClr val="windowText" lastClr="000000"/>
              </a:solidFill>
              <a:latin typeface="+mn-lt"/>
              <a:ea typeface="+mn-ea"/>
              <a:cs typeface="+mn-cs"/>
            </a:rPr>
            <a:t>定义：</a:t>
          </a:r>
          <a:endParaRPr lang="en-US" altLang="zh-CN" sz="900" b="1">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1. </a:t>
          </a:r>
          <a:r>
            <a:rPr lang="zh-CN" altLang="en-US" sz="900" b="0">
              <a:solidFill>
                <a:sysClr val="windowText" lastClr="000000"/>
              </a:solidFill>
              <a:latin typeface="+mn-lt"/>
              <a:ea typeface="+mn-ea"/>
              <a:cs typeface="+mn-cs"/>
            </a:rPr>
            <a:t>内部收益率（</a:t>
          </a:r>
          <a:r>
            <a:rPr lang="en-US" altLang="zh-CN" sz="900" b="0">
              <a:solidFill>
                <a:sysClr val="windowText" lastClr="000000"/>
              </a:solidFill>
              <a:latin typeface="+mn-lt"/>
              <a:ea typeface="+mn-ea"/>
              <a:cs typeface="+mn-cs"/>
            </a:rPr>
            <a:t>IRR - Internal Rate of Return</a:t>
          </a:r>
          <a:r>
            <a:rPr lang="zh-CN" altLang="en-US" sz="900" b="0">
              <a:solidFill>
                <a:sysClr val="windowText" lastClr="000000"/>
              </a:solidFill>
              <a:latin typeface="+mn-lt"/>
              <a:ea typeface="+mn-ea"/>
              <a:cs typeface="+mn-cs"/>
            </a:rPr>
            <a:t>）的定义是，净现值（</a:t>
          </a:r>
          <a:r>
            <a:rPr lang="en-US" altLang="zh-CN" sz="900" b="0">
              <a:solidFill>
                <a:sysClr val="windowText" lastClr="000000"/>
              </a:solidFill>
              <a:latin typeface="+mn-lt"/>
              <a:ea typeface="+mn-ea"/>
              <a:cs typeface="+mn-cs"/>
            </a:rPr>
            <a:t>NPV</a:t>
          </a:r>
          <a:r>
            <a:rPr lang="zh-CN" altLang="en-US" sz="900" b="0">
              <a:solidFill>
                <a:sysClr val="windowText" lastClr="000000"/>
              </a:solidFill>
              <a:latin typeface="+mn-lt"/>
              <a:ea typeface="+mn-ea"/>
              <a:cs typeface="+mn-cs"/>
            </a:rPr>
            <a:t>）为零时的折现率（</a:t>
          </a:r>
          <a:r>
            <a:rPr lang="en-US" altLang="zh-CN" sz="900" b="0">
              <a:solidFill>
                <a:sysClr val="windowText" lastClr="000000"/>
              </a:solidFill>
              <a:latin typeface="+mn-lt"/>
              <a:ea typeface="+mn-ea"/>
              <a:cs typeface="+mn-cs"/>
            </a:rPr>
            <a:t>Discount Rate</a:t>
          </a:r>
          <a:r>
            <a:rPr lang="zh-CN" altLang="en-US" sz="900" b="0">
              <a:solidFill>
                <a:sysClr val="windowText" lastClr="000000"/>
              </a:solidFill>
              <a:latin typeface="+mn-lt"/>
              <a:ea typeface="+mn-ea"/>
              <a:cs typeface="+mn-cs"/>
            </a:rPr>
            <a:t>）。</a:t>
          </a:r>
          <a:endParaRPr lang="en-US" altLang="zh-CN" sz="900" b="0">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2. IRR</a:t>
          </a:r>
          <a:r>
            <a:rPr lang="zh-CN" altLang="en-US" sz="900" b="0">
              <a:solidFill>
                <a:sysClr val="windowText" lastClr="000000"/>
              </a:solidFill>
              <a:latin typeface="+mn-lt"/>
              <a:ea typeface="+mn-ea"/>
              <a:cs typeface="+mn-cs"/>
            </a:rPr>
            <a:t>考虑了资金的时间价值。</a:t>
          </a:r>
          <a:endParaRPr lang="en-US" altLang="zh-CN" sz="900" b="0">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3. </a:t>
          </a:r>
          <a:r>
            <a:rPr lang="zh-CN" altLang="en-US" sz="900" b="0">
              <a:solidFill>
                <a:sysClr val="windowText" lastClr="000000"/>
              </a:solidFill>
              <a:latin typeface="+mn-lt"/>
              <a:ea typeface="+mn-ea"/>
              <a:cs typeface="+mn-cs"/>
            </a:rPr>
            <a:t>与</a:t>
          </a:r>
          <a:r>
            <a:rPr lang="en-US" altLang="zh-CN" sz="900" b="0">
              <a:solidFill>
                <a:sysClr val="windowText" lastClr="000000"/>
              </a:solidFill>
              <a:latin typeface="+mn-lt"/>
              <a:ea typeface="+mn-ea"/>
              <a:cs typeface="+mn-cs"/>
            </a:rPr>
            <a:t>IRR</a:t>
          </a:r>
          <a:r>
            <a:rPr lang="zh-CN" altLang="en-US" sz="900" b="0">
              <a:solidFill>
                <a:sysClr val="windowText" lastClr="000000"/>
              </a:solidFill>
              <a:latin typeface="+mn-lt"/>
              <a:ea typeface="+mn-ea"/>
              <a:cs typeface="+mn-cs"/>
            </a:rPr>
            <a:t>紧密相关的就是</a:t>
          </a:r>
          <a:r>
            <a:rPr lang="en-US" altLang="zh-CN" sz="900" b="0">
              <a:solidFill>
                <a:sysClr val="windowText" lastClr="000000"/>
              </a:solidFill>
              <a:latin typeface="+mn-lt"/>
              <a:ea typeface="+mn-ea"/>
              <a:cs typeface="+mn-cs"/>
            </a:rPr>
            <a:t>NPV</a:t>
          </a:r>
          <a:r>
            <a:rPr lang="zh-CN" altLang="en-US" sz="900" b="0">
              <a:solidFill>
                <a:sysClr val="windowText" lastClr="000000"/>
              </a:solidFill>
              <a:latin typeface="+mn-lt"/>
              <a:ea typeface="+mn-ea"/>
              <a:cs typeface="+mn-cs"/>
            </a:rPr>
            <a:t>（</a:t>
          </a:r>
          <a:r>
            <a:rPr lang="en-US" altLang="zh-CN" sz="900" b="0">
              <a:solidFill>
                <a:sysClr val="windowText" lastClr="000000"/>
              </a:solidFill>
              <a:latin typeface="+mn-lt"/>
              <a:ea typeface="+mn-ea"/>
              <a:cs typeface="+mn-cs"/>
            </a:rPr>
            <a:t>Net Present Value</a:t>
          </a:r>
          <a:r>
            <a:rPr lang="zh-CN" altLang="en-US" sz="900" b="0">
              <a:solidFill>
                <a:sysClr val="windowText" lastClr="000000"/>
              </a:solidFill>
              <a:latin typeface="+mn-lt"/>
              <a:ea typeface="+mn-ea"/>
              <a:cs typeface="+mn-cs"/>
            </a:rPr>
            <a:t>），项目的净现值。理论上一个项目的</a:t>
          </a:r>
          <a:r>
            <a:rPr lang="en-US" altLang="zh-CN" sz="900" b="0">
              <a:solidFill>
                <a:sysClr val="windowText" lastClr="000000"/>
              </a:solidFill>
              <a:latin typeface="+mn-lt"/>
              <a:ea typeface="+mn-ea"/>
              <a:cs typeface="+mn-cs"/>
            </a:rPr>
            <a:t>NPV&gt;0</a:t>
          </a:r>
          <a:r>
            <a:rPr lang="zh-CN" altLang="en-US" sz="900" b="0">
              <a:solidFill>
                <a:sysClr val="windowText" lastClr="000000"/>
              </a:solidFill>
              <a:latin typeface="+mn-lt"/>
              <a:ea typeface="+mn-ea"/>
              <a:cs typeface="+mn-cs"/>
            </a:rPr>
            <a:t>的时候这个项目才有意义，当项目</a:t>
          </a:r>
          <a:r>
            <a:rPr lang="en-US" altLang="zh-CN" sz="900" b="0">
              <a:solidFill>
                <a:sysClr val="windowText" lastClr="000000"/>
              </a:solidFill>
              <a:latin typeface="+mn-lt"/>
              <a:ea typeface="+mn-ea"/>
              <a:cs typeface="+mn-cs"/>
            </a:rPr>
            <a:t>NPV&lt;0</a:t>
          </a:r>
          <a:r>
            <a:rPr lang="zh-CN" altLang="en-US" sz="900" b="0">
              <a:solidFill>
                <a:sysClr val="windowText" lastClr="000000"/>
              </a:solidFill>
              <a:latin typeface="+mn-lt"/>
              <a:ea typeface="+mn-ea"/>
              <a:cs typeface="+mn-cs"/>
            </a:rPr>
            <a:t>意味着亏钱。当</a:t>
          </a:r>
          <a:r>
            <a:rPr lang="en-US" altLang="zh-CN" sz="900" b="0">
              <a:solidFill>
                <a:sysClr val="windowText" lastClr="000000"/>
              </a:solidFill>
              <a:latin typeface="+mn-lt"/>
              <a:ea typeface="+mn-ea"/>
              <a:cs typeface="+mn-cs"/>
            </a:rPr>
            <a:t>NPV=0</a:t>
          </a:r>
          <a:r>
            <a:rPr lang="zh-CN" altLang="en-US" sz="900" b="0">
              <a:solidFill>
                <a:sysClr val="windowText" lastClr="000000"/>
              </a:solidFill>
              <a:latin typeface="+mn-lt"/>
              <a:ea typeface="+mn-ea"/>
              <a:cs typeface="+mn-cs"/>
            </a:rPr>
            <a:t>，投资与否都一样，因为</a:t>
          </a:r>
          <a:r>
            <a:rPr lang="en-US" altLang="zh-CN" sz="900" b="0">
              <a:solidFill>
                <a:sysClr val="windowText" lastClr="000000"/>
              </a:solidFill>
              <a:latin typeface="+mn-lt"/>
              <a:ea typeface="+mn-ea"/>
              <a:cs typeface="+mn-cs"/>
            </a:rPr>
            <a:t>IRR</a:t>
          </a:r>
          <a:r>
            <a:rPr lang="zh-CN" altLang="en-US" sz="900" b="0">
              <a:solidFill>
                <a:sysClr val="windowText" lastClr="000000"/>
              </a:solidFill>
              <a:latin typeface="+mn-lt"/>
              <a:ea typeface="+mn-ea"/>
              <a:cs typeface="+mn-cs"/>
            </a:rPr>
            <a:t>就等于资金成本</a:t>
          </a:r>
          <a:r>
            <a:rPr lang="en-US" altLang="zh-CN" sz="900" b="0">
              <a:solidFill>
                <a:sysClr val="windowText" lastClr="000000"/>
              </a:solidFill>
              <a:latin typeface="+mn-lt"/>
              <a:ea typeface="+mn-ea"/>
              <a:cs typeface="+mn-cs"/>
            </a:rPr>
            <a:t>Discount Rate</a:t>
          </a:r>
          <a:r>
            <a:rPr lang="zh-CN" altLang="en-US" sz="900" b="0">
              <a:solidFill>
                <a:sysClr val="windowText" lastClr="000000"/>
              </a:solidFill>
              <a:latin typeface="+mn-lt"/>
              <a:ea typeface="+mn-ea"/>
              <a:cs typeface="+mn-cs"/>
            </a:rPr>
            <a:t>。</a:t>
          </a:r>
          <a:endParaRPr lang="en-US" altLang="zh-CN" sz="900" b="0">
            <a:solidFill>
              <a:sysClr val="windowText" lastClr="000000"/>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1072662</xdr:colOff>
      <xdr:row>13</xdr:row>
      <xdr:rowOff>84992</xdr:rowOff>
    </xdr:from>
    <xdr:to>
      <xdr:col>3</xdr:col>
      <xdr:colOff>627185</xdr:colOff>
      <xdr:row>13</xdr:row>
      <xdr:rowOff>84992</xdr:rowOff>
    </xdr:to>
    <xdr:cxnSp macro="">
      <xdr:nvCxnSpPr>
        <xdr:cNvPr id="2" name="直接箭头连接符 1"/>
        <xdr:cNvCxnSpPr/>
      </xdr:nvCxnSpPr>
      <xdr:spPr>
        <a:xfrm>
          <a:off x="2491154" y="1872761"/>
          <a:ext cx="674077"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580879</xdr:colOff>
      <xdr:row>6</xdr:row>
      <xdr:rowOff>84992</xdr:rowOff>
    </xdr:from>
    <xdr:to>
      <xdr:col>3</xdr:col>
      <xdr:colOff>357554</xdr:colOff>
      <xdr:row>6</xdr:row>
      <xdr:rowOff>84992</xdr:rowOff>
    </xdr:to>
    <xdr:cxnSp macro="">
      <xdr:nvCxnSpPr>
        <xdr:cNvPr id="4" name="直接箭头连接符 3"/>
        <xdr:cNvCxnSpPr/>
      </xdr:nvCxnSpPr>
      <xdr:spPr>
        <a:xfrm>
          <a:off x="1999371" y="893884"/>
          <a:ext cx="896229"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8"/>
  <sheetViews>
    <sheetView showGridLines="0" zoomScale="115" zoomScaleNormal="115" workbookViewId="0">
      <selection activeCell="B22" sqref="B22"/>
    </sheetView>
  </sheetViews>
  <sheetFormatPr defaultRowHeight="10.8" x14ac:dyDescent="0.25"/>
  <cols>
    <col min="1" max="1" width="15.6640625" style="44" customWidth="1"/>
    <col min="2" max="2" width="13.88671875" style="44" customWidth="1"/>
    <col min="3" max="3" width="2.5546875" style="44" customWidth="1"/>
    <col min="4" max="5" width="13.88671875" style="44" customWidth="1"/>
    <col min="6" max="6" width="2.5546875" style="44" customWidth="1"/>
    <col min="7" max="7" width="15.88671875" style="44" customWidth="1"/>
    <col min="8" max="8" width="2.44140625" style="44" customWidth="1"/>
    <col min="9" max="9" width="13.109375" style="44" customWidth="1"/>
    <col min="10" max="10" width="2.44140625" style="44" customWidth="1"/>
    <col min="11" max="11" width="14.21875" style="44" customWidth="1"/>
    <col min="12" max="12" width="2.5546875" style="44" customWidth="1"/>
    <col min="13" max="13" width="13.88671875" style="44" customWidth="1"/>
    <col min="14" max="14" width="2.5546875" style="44" customWidth="1"/>
    <col min="15" max="15" width="15.44140625" style="44" customWidth="1"/>
    <col min="16" max="16384" width="8.88671875" style="44"/>
  </cols>
  <sheetData>
    <row r="1" spans="1:15" x14ac:dyDescent="0.25">
      <c r="A1" s="43"/>
      <c r="B1" s="43"/>
      <c r="C1" s="43"/>
      <c r="D1" s="43"/>
      <c r="E1" s="43"/>
      <c r="F1" s="43"/>
      <c r="G1" s="43"/>
      <c r="H1" s="43"/>
      <c r="I1" s="43"/>
      <c r="J1" s="43"/>
      <c r="K1" s="43"/>
      <c r="L1" s="43"/>
      <c r="M1" s="43"/>
      <c r="N1" s="43"/>
      <c r="O1" s="43"/>
    </row>
    <row r="2" spans="1:15" x14ac:dyDescent="0.25">
      <c r="A2" s="45"/>
      <c r="B2" s="43" t="s">
        <v>67</v>
      </c>
      <c r="D2" s="43"/>
      <c r="E2" s="43"/>
      <c r="F2" s="43"/>
      <c r="G2" s="43"/>
      <c r="H2" s="43"/>
      <c r="I2" s="43"/>
      <c r="J2" s="43"/>
      <c r="K2" s="43"/>
      <c r="L2" s="43"/>
      <c r="M2" s="43"/>
      <c r="N2" s="43"/>
      <c r="O2" s="43"/>
    </row>
    <row r="3" spans="1:15" x14ac:dyDescent="0.25">
      <c r="A3" s="46"/>
      <c r="B3" s="47" t="s">
        <v>68</v>
      </c>
      <c r="D3" s="43"/>
      <c r="E3" s="43"/>
      <c r="F3" s="43"/>
      <c r="G3" s="43"/>
      <c r="H3" s="43"/>
      <c r="I3" s="43"/>
      <c r="J3" s="43"/>
      <c r="K3" s="43"/>
      <c r="L3" s="43"/>
      <c r="M3" s="43"/>
      <c r="N3" s="43"/>
      <c r="O3" s="43"/>
    </row>
    <row r="4" spans="1:15" x14ac:dyDescent="0.25">
      <c r="A4" s="48"/>
      <c r="B4" s="47" t="s">
        <v>69</v>
      </c>
      <c r="D4" s="43"/>
      <c r="E4" s="43"/>
      <c r="F4" s="43"/>
      <c r="G4" s="43"/>
      <c r="H4" s="43"/>
      <c r="I4" s="43"/>
      <c r="J4" s="43"/>
      <c r="K4" s="43"/>
      <c r="L4" s="43"/>
      <c r="M4" s="43"/>
      <c r="N4" s="43"/>
      <c r="O4" s="43"/>
    </row>
    <row r="5" spans="1:15" x14ac:dyDescent="0.25">
      <c r="A5" s="43"/>
      <c r="B5" s="43" t="s">
        <v>83</v>
      </c>
      <c r="D5" s="43"/>
      <c r="E5" s="43"/>
      <c r="F5" s="43"/>
      <c r="G5" s="43"/>
      <c r="H5" s="43"/>
      <c r="I5" s="43"/>
      <c r="J5" s="43"/>
      <c r="K5" s="43"/>
      <c r="L5" s="43"/>
      <c r="M5" s="43"/>
      <c r="N5" s="43"/>
      <c r="O5" s="43"/>
    </row>
    <row r="6" spans="1:15" x14ac:dyDescent="0.25">
      <c r="A6" s="43"/>
      <c r="B6" s="43"/>
      <c r="D6" s="43"/>
      <c r="E6" s="43"/>
      <c r="F6" s="43"/>
      <c r="G6" s="49" t="s">
        <v>70</v>
      </c>
      <c r="K6" s="49" t="s">
        <v>70</v>
      </c>
      <c r="L6" s="43"/>
      <c r="M6" s="43"/>
      <c r="N6" s="43"/>
      <c r="O6" s="43"/>
    </row>
    <row r="7" spans="1:15" ht="19.2" x14ac:dyDescent="0.25">
      <c r="A7" s="43"/>
      <c r="B7" s="43"/>
      <c r="C7" s="43"/>
      <c r="D7" s="43"/>
      <c r="E7" s="43"/>
      <c r="F7" s="43"/>
      <c r="G7" s="45" t="s">
        <v>163</v>
      </c>
      <c r="K7" s="45" t="s">
        <v>160</v>
      </c>
      <c r="L7" s="43"/>
      <c r="M7" s="43"/>
      <c r="N7" s="43"/>
      <c r="O7" s="43"/>
    </row>
    <row r="8" spans="1:15" x14ac:dyDescent="0.25">
      <c r="A8" s="43"/>
      <c r="B8" s="43"/>
      <c r="C8" s="43"/>
      <c r="D8" s="43"/>
      <c r="E8" s="43"/>
      <c r="F8" s="43"/>
      <c r="K8" s="43"/>
      <c r="L8" s="43"/>
      <c r="M8" s="43"/>
      <c r="N8" s="47"/>
      <c r="O8" s="43"/>
    </row>
    <row r="9" spans="1:15" x14ac:dyDescent="0.25">
      <c r="A9" s="43"/>
      <c r="B9" s="43"/>
      <c r="C9" s="43"/>
      <c r="D9" s="43"/>
      <c r="E9" s="43"/>
      <c r="F9" s="43"/>
      <c r="G9" s="50"/>
      <c r="H9" s="50"/>
      <c r="I9" s="50"/>
      <c r="J9" s="50"/>
      <c r="K9" s="43"/>
      <c r="L9" s="43"/>
      <c r="M9" s="43"/>
      <c r="N9" s="47"/>
      <c r="O9" s="43"/>
    </row>
    <row r="10" spans="1:15" x14ac:dyDescent="0.25">
      <c r="A10" s="43"/>
      <c r="B10" s="49" t="s">
        <v>71</v>
      </c>
      <c r="C10" s="43"/>
      <c r="D10" s="49" t="s">
        <v>72</v>
      </c>
      <c r="E10" s="49" t="s">
        <v>73</v>
      </c>
      <c r="F10" s="51"/>
      <c r="G10" s="49" t="s">
        <v>74</v>
      </c>
      <c r="H10" s="43"/>
      <c r="I10" s="49" t="s">
        <v>75</v>
      </c>
      <c r="J10" s="43"/>
      <c r="K10" s="49" t="s">
        <v>76</v>
      </c>
      <c r="L10" s="52"/>
      <c r="M10" s="49" t="s">
        <v>77</v>
      </c>
      <c r="N10" s="43"/>
      <c r="O10" s="49" t="s">
        <v>165</v>
      </c>
    </row>
    <row r="11" spans="1:15" ht="19.2" x14ac:dyDescent="0.25">
      <c r="A11" s="43"/>
      <c r="B11" s="45" t="s">
        <v>151</v>
      </c>
      <c r="C11" s="43"/>
      <c r="D11" s="53" t="s">
        <v>153</v>
      </c>
      <c r="E11" s="54" t="s">
        <v>168</v>
      </c>
      <c r="F11" s="43"/>
      <c r="G11" s="54" t="s">
        <v>157</v>
      </c>
      <c r="H11" s="43"/>
      <c r="I11" s="48" t="s">
        <v>159</v>
      </c>
      <c r="J11" s="43"/>
      <c r="K11" s="54" t="s">
        <v>245</v>
      </c>
      <c r="L11" s="50"/>
      <c r="M11" s="48" t="s">
        <v>244</v>
      </c>
      <c r="N11" s="43"/>
      <c r="O11" s="48" t="s">
        <v>242</v>
      </c>
    </row>
    <row r="12" spans="1:15" s="55" customFormat="1" x14ac:dyDescent="0.25">
      <c r="A12" s="50"/>
      <c r="B12" s="50" t="s">
        <v>78</v>
      </c>
      <c r="C12" s="50"/>
      <c r="D12" s="50" t="s">
        <v>79</v>
      </c>
      <c r="E12" s="50" t="s">
        <v>79</v>
      </c>
      <c r="F12" s="43"/>
      <c r="G12" s="50" t="s">
        <v>264</v>
      </c>
      <c r="H12" s="50"/>
      <c r="I12" s="50" t="s">
        <v>81</v>
      </c>
      <c r="J12" s="50"/>
      <c r="K12" s="50" t="s">
        <v>82</v>
      </c>
      <c r="L12" s="50"/>
      <c r="M12" s="50" t="s">
        <v>82</v>
      </c>
      <c r="N12" s="50"/>
      <c r="O12" s="50" t="s">
        <v>164</v>
      </c>
    </row>
    <row r="13" spans="1:15" x14ac:dyDescent="0.25">
      <c r="A13" s="43"/>
      <c r="B13" s="43"/>
      <c r="C13" s="43"/>
      <c r="D13" s="43"/>
      <c r="E13" s="43"/>
      <c r="F13" s="43"/>
      <c r="G13" s="43"/>
      <c r="H13" s="43"/>
      <c r="I13" s="43" t="s">
        <v>83</v>
      </c>
      <c r="J13" s="43"/>
      <c r="K13" s="43"/>
      <c r="L13" s="50"/>
      <c r="M13" s="56"/>
      <c r="N13" s="43"/>
      <c r="O13" s="43"/>
    </row>
    <row r="14" spans="1:15" ht="19.2" x14ac:dyDescent="0.25">
      <c r="A14" s="43"/>
      <c r="B14" s="48" t="s">
        <v>152</v>
      </c>
      <c r="C14" s="43"/>
      <c r="D14" s="46" t="s">
        <v>154</v>
      </c>
      <c r="E14" s="57" t="s">
        <v>156</v>
      </c>
      <c r="F14" s="43"/>
      <c r="G14" s="46" t="s">
        <v>166</v>
      </c>
      <c r="H14" s="43"/>
      <c r="I14" s="48" t="s">
        <v>158</v>
      </c>
      <c r="J14" s="43"/>
      <c r="K14" s="48" t="s">
        <v>246</v>
      </c>
      <c r="L14" s="50"/>
      <c r="M14" s="48" t="s">
        <v>263</v>
      </c>
      <c r="N14" s="43"/>
      <c r="O14" s="48" t="s">
        <v>243</v>
      </c>
    </row>
    <row r="15" spans="1:15" s="55" customFormat="1" x14ac:dyDescent="0.25">
      <c r="A15" s="50"/>
      <c r="B15" s="50" t="s">
        <v>84</v>
      </c>
      <c r="C15" s="50"/>
      <c r="D15" s="50" t="s">
        <v>85</v>
      </c>
      <c r="E15" s="50" t="s">
        <v>86</v>
      </c>
      <c r="F15" s="43"/>
      <c r="G15" s="50" t="s">
        <v>264</v>
      </c>
      <c r="H15" s="50"/>
      <c r="I15" s="50" t="s">
        <v>81</v>
      </c>
      <c r="J15" s="50"/>
      <c r="K15" s="50" t="s">
        <v>82</v>
      </c>
      <c r="L15" s="50"/>
      <c r="M15" s="50" t="s">
        <v>87</v>
      </c>
      <c r="N15" s="43"/>
      <c r="O15" s="50" t="s">
        <v>164</v>
      </c>
    </row>
    <row r="16" spans="1:15" ht="19.2" x14ac:dyDescent="0.25">
      <c r="A16" s="43"/>
      <c r="B16" s="43"/>
      <c r="C16" s="43"/>
      <c r="D16" s="46" t="s">
        <v>155</v>
      </c>
      <c r="E16" s="58" t="s">
        <v>156</v>
      </c>
      <c r="F16" s="43"/>
      <c r="G16" s="46" t="s">
        <v>167</v>
      </c>
      <c r="H16" s="43"/>
      <c r="I16" s="43"/>
      <c r="J16" s="43"/>
      <c r="K16" s="48" t="s">
        <v>246</v>
      </c>
      <c r="L16" s="50"/>
      <c r="M16" s="48" t="s">
        <v>263</v>
      </c>
      <c r="N16" s="43"/>
    </row>
    <row r="17" spans="1:19" s="55" customFormat="1" x14ac:dyDescent="0.25">
      <c r="A17" s="50"/>
      <c r="B17" s="50"/>
      <c r="C17" s="50"/>
      <c r="D17" s="50" t="s">
        <v>85</v>
      </c>
      <c r="E17" s="50" t="s">
        <v>86</v>
      </c>
      <c r="F17" s="50"/>
      <c r="G17" s="50" t="s">
        <v>264</v>
      </c>
      <c r="H17" s="50"/>
      <c r="I17" s="50"/>
      <c r="J17" s="50"/>
      <c r="K17" s="50" t="s">
        <v>82</v>
      </c>
      <c r="L17" s="50"/>
      <c r="M17" s="50" t="s">
        <v>87</v>
      </c>
      <c r="N17" s="43"/>
    </row>
    <row r="18" spans="1:19" ht="19.2" x14ac:dyDescent="0.25">
      <c r="A18" s="43"/>
      <c r="B18" s="43"/>
      <c r="C18" s="43"/>
      <c r="D18" s="46" t="s">
        <v>154</v>
      </c>
      <c r="E18" s="58" t="s">
        <v>156</v>
      </c>
      <c r="F18" s="43"/>
      <c r="G18" s="43"/>
      <c r="H18" s="43"/>
      <c r="I18" s="43"/>
      <c r="J18" s="43"/>
      <c r="K18" s="48" t="s">
        <v>246</v>
      </c>
      <c r="L18" s="50"/>
      <c r="M18" s="48" t="s">
        <v>263</v>
      </c>
      <c r="N18" s="43"/>
      <c r="O18" s="43"/>
    </row>
    <row r="19" spans="1:19" s="55" customFormat="1" x14ac:dyDescent="0.25">
      <c r="A19" s="50"/>
      <c r="B19" s="50"/>
      <c r="C19" s="50"/>
      <c r="D19" s="50" t="s">
        <v>85</v>
      </c>
      <c r="E19" s="50" t="s">
        <v>86</v>
      </c>
      <c r="F19" s="50"/>
      <c r="G19" s="50"/>
      <c r="H19" s="50"/>
      <c r="I19" s="50"/>
      <c r="J19" s="50"/>
      <c r="K19" s="50"/>
      <c r="L19" s="50"/>
      <c r="M19" s="50" t="s">
        <v>87</v>
      </c>
      <c r="N19" s="43"/>
      <c r="O19" s="50"/>
      <c r="Q19" s="44"/>
      <c r="R19" s="44"/>
      <c r="S19" s="44"/>
    </row>
    <row r="20" spans="1:19" ht="19.2" x14ac:dyDescent="0.25">
      <c r="A20" s="43"/>
      <c r="B20" s="43"/>
      <c r="C20" s="43"/>
      <c r="D20" s="46" t="s">
        <v>154</v>
      </c>
      <c r="F20" s="43"/>
      <c r="G20" s="43"/>
      <c r="H20" s="43"/>
      <c r="I20" s="43"/>
      <c r="J20" s="43"/>
      <c r="K20" s="48" t="s">
        <v>246</v>
      </c>
      <c r="L20" s="43"/>
      <c r="M20" s="48" t="s">
        <v>263</v>
      </c>
      <c r="N20" s="43"/>
      <c r="O20" s="43"/>
      <c r="P20" s="59"/>
    </row>
    <row r="21" spans="1:19" s="55" customFormat="1" x14ac:dyDescent="0.25">
      <c r="A21" s="50"/>
      <c r="B21" s="50"/>
      <c r="C21" s="50"/>
      <c r="D21" s="50" t="s">
        <v>85</v>
      </c>
      <c r="F21" s="50"/>
      <c r="G21" s="50"/>
      <c r="H21" s="50"/>
      <c r="I21" s="50"/>
      <c r="J21" s="50"/>
      <c r="K21" s="50"/>
      <c r="L21" s="50"/>
      <c r="M21" s="50" t="s">
        <v>87</v>
      </c>
      <c r="N21" s="50"/>
      <c r="O21" s="60"/>
      <c r="P21" s="61"/>
    </row>
    <row r="22" spans="1:19" ht="19.2" x14ac:dyDescent="0.25">
      <c r="A22" s="43"/>
      <c r="B22" s="43"/>
      <c r="C22" s="43"/>
      <c r="D22" s="62" t="s">
        <v>162</v>
      </c>
      <c r="E22" s="43"/>
      <c r="F22" s="43"/>
      <c r="G22" s="43"/>
      <c r="H22" s="43"/>
      <c r="I22" s="43"/>
      <c r="J22" s="43"/>
      <c r="K22" s="48" t="s">
        <v>161</v>
      </c>
      <c r="L22" s="43"/>
      <c r="M22" s="48" t="s">
        <v>263</v>
      </c>
      <c r="N22" s="43"/>
      <c r="O22" s="47"/>
      <c r="P22" s="59"/>
    </row>
    <row r="23" spans="1:19" s="55" customFormat="1" x14ac:dyDescent="0.25">
      <c r="A23" s="50"/>
      <c r="B23" s="50"/>
      <c r="C23" s="50"/>
      <c r="D23" s="50" t="s">
        <v>88</v>
      </c>
      <c r="E23" s="50"/>
      <c r="F23" s="50"/>
      <c r="G23" s="50"/>
      <c r="H23" s="50"/>
      <c r="I23" s="50"/>
      <c r="J23" s="50"/>
      <c r="K23" s="50" t="s">
        <v>80</v>
      </c>
      <c r="L23" s="50"/>
      <c r="M23" s="50" t="s">
        <v>89</v>
      </c>
      <c r="N23" s="50"/>
      <c r="O23" s="50"/>
    </row>
    <row r="24" spans="1:19" s="55" customFormat="1" x14ac:dyDescent="0.25">
      <c r="A24" s="50"/>
      <c r="B24" s="50"/>
      <c r="C24" s="50"/>
      <c r="D24" s="50"/>
      <c r="E24" s="50"/>
      <c r="F24" s="50"/>
      <c r="G24" s="50"/>
      <c r="H24" s="50"/>
      <c r="I24" s="50"/>
      <c r="J24" s="50"/>
      <c r="K24" s="50"/>
      <c r="L24" s="50"/>
      <c r="M24" s="50"/>
      <c r="N24" s="50"/>
      <c r="O24" s="50"/>
    </row>
    <row r="25" spans="1:19" x14ac:dyDescent="0.25">
      <c r="K25" s="50"/>
    </row>
    <row r="26" spans="1:19" x14ac:dyDescent="0.25">
      <c r="B26" s="85" t="s">
        <v>189</v>
      </c>
      <c r="O26" s="59"/>
    </row>
    <row r="27" spans="1:19" x14ac:dyDescent="0.25">
      <c r="O27" s="59"/>
    </row>
    <row r="28" spans="1:19" x14ac:dyDescent="0.25">
      <c r="N28" s="55"/>
      <c r="O28" s="59"/>
    </row>
  </sheetData>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3:N24"/>
  <sheetViews>
    <sheetView showGridLines="0" workbookViewId="0">
      <selection activeCell="C15" activeCellId="2" sqref="C5:N7 C10:N11 C15:N19"/>
    </sheetView>
  </sheetViews>
  <sheetFormatPr defaultRowHeight="14.4" x14ac:dyDescent="0.25"/>
  <cols>
    <col min="2" max="2" width="27.109375" customWidth="1"/>
  </cols>
  <sheetData>
    <row r="3" spans="2:14" x14ac:dyDescent="0.25">
      <c r="B3" s="195" t="s">
        <v>503</v>
      </c>
    </row>
    <row r="4" spans="2:14" x14ac:dyDescent="0.25">
      <c r="B4" s="95" t="s">
        <v>498</v>
      </c>
      <c r="C4" s="89" t="s">
        <v>466</v>
      </c>
      <c r="D4" s="89" t="s">
        <v>296</v>
      </c>
      <c r="E4" s="89" t="s">
        <v>297</v>
      </c>
      <c r="F4" s="89" t="s">
        <v>298</v>
      </c>
      <c r="G4" s="89" t="s">
        <v>299</v>
      </c>
      <c r="H4" s="89" t="s">
        <v>300</v>
      </c>
      <c r="I4" s="89" t="s">
        <v>301</v>
      </c>
      <c r="J4" s="89" t="s">
        <v>302</v>
      </c>
      <c r="K4" s="89" t="s">
        <v>303</v>
      </c>
      <c r="L4" s="89" t="s">
        <v>304</v>
      </c>
      <c r="M4" s="89" t="s">
        <v>305</v>
      </c>
      <c r="N4" s="89" t="s">
        <v>306</v>
      </c>
    </row>
    <row r="5" spans="2:14" x14ac:dyDescent="0.25">
      <c r="B5" s="91" t="s">
        <v>467</v>
      </c>
      <c r="C5" s="92">
        <v>10</v>
      </c>
      <c r="D5" s="92">
        <v>12</v>
      </c>
      <c r="E5" s="92">
        <v>14</v>
      </c>
      <c r="F5" s="92">
        <v>16</v>
      </c>
      <c r="G5" s="92">
        <v>18</v>
      </c>
      <c r="H5" s="92">
        <v>20</v>
      </c>
      <c r="I5" s="92">
        <v>22</v>
      </c>
      <c r="J5" s="92">
        <v>24</v>
      </c>
      <c r="K5" s="92">
        <v>26</v>
      </c>
      <c r="L5" s="92">
        <v>28</v>
      </c>
      <c r="M5" s="92">
        <v>30</v>
      </c>
      <c r="N5" s="92">
        <v>32</v>
      </c>
    </row>
    <row r="6" spans="2:14" x14ac:dyDescent="0.25">
      <c r="B6" s="91" t="s">
        <v>468</v>
      </c>
      <c r="C6" s="92"/>
      <c r="D6" s="181">
        <f>D5/C5-1</f>
        <v>0.19999999999999996</v>
      </c>
      <c r="E6" s="181">
        <f t="shared" ref="E6:N6" si="0">E5/D5-1</f>
        <v>0.16666666666666674</v>
      </c>
      <c r="F6" s="181">
        <f t="shared" si="0"/>
        <v>0.14285714285714279</v>
      </c>
      <c r="G6" s="181">
        <f t="shared" si="0"/>
        <v>0.125</v>
      </c>
      <c r="H6" s="181">
        <f t="shared" si="0"/>
        <v>0.11111111111111116</v>
      </c>
      <c r="I6" s="181">
        <f t="shared" si="0"/>
        <v>0.10000000000000009</v>
      </c>
      <c r="J6" s="181">
        <f t="shared" si="0"/>
        <v>9.0909090909090828E-2</v>
      </c>
      <c r="K6" s="181">
        <f t="shared" si="0"/>
        <v>8.3333333333333259E-2</v>
      </c>
      <c r="L6" s="181">
        <f t="shared" si="0"/>
        <v>7.6923076923076872E-2</v>
      </c>
      <c r="M6" s="181">
        <f t="shared" si="0"/>
        <v>7.1428571428571397E-2</v>
      </c>
      <c r="N6" s="181">
        <f t="shared" si="0"/>
        <v>6.6666666666666652E-2</v>
      </c>
    </row>
    <row r="8" spans="2:14" x14ac:dyDescent="0.25">
      <c r="B8" s="196" t="s">
        <v>504</v>
      </c>
    </row>
    <row r="9" spans="2:14" x14ac:dyDescent="0.25">
      <c r="B9" s="95" t="s">
        <v>499</v>
      </c>
      <c r="C9" s="89" t="s">
        <v>466</v>
      </c>
      <c r="D9" s="89" t="s">
        <v>296</v>
      </c>
      <c r="E9" s="89" t="s">
        <v>297</v>
      </c>
      <c r="F9" s="89" t="s">
        <v>298</v>
      </c>
      <c r="G9" s="89" t="s">
        <v>299</v>
      </c>
      <c r="H9" s="89" t="s">
        <v>300</v>
      </c>
      <c r="I9" s="89" t="s">
        <v>301</v>
      </c>
      <c r="J9" s="89" t="s">
        <v>302</v>
      </c>
      <c r="K9" s="89" t="s">
        <v>303</v>
      </c>
      <c r="L9" s="89" t="s">
        <v>304</v>
      </c>
      <c r="M9" s="89" t="s">
        <v>305</v>
      </c>
      <c r="N9" s="89" t="s">
        <v>306</v>
      </c>
    </row>
    <row r="10" spans="2:14" x14ac:dyDescent="0.25">
      <c r="B10" s="91" t="s">
        <v>469</v>
      </c>
      <c r="C10" s="92">
        <v>8</v>
      </c>
      <c r="D10" s="92">
        <v>10</v>
      </c>
      <c r="E10" s="92">
        <v>12</v>
      </c>
      <c r="F10" s="92">
        <v>14</v>
      </c>
      <c r="G10" s="92">
        <v>16</v>
      </c>
      <c r="H10" s="92">
        <v>18</v>
      </c>
      <c r="I10" s="92">
        <v>20</v>
      </c>
      <c r="J10" s="92">
        <v>22</v>
      </c>
      <c r="K10" s="92">
        <v>24</v>
      </c>
      <c r="L10" s="92">
        <v>26</v>
      </c>
      <c r="M10" s="92">
        <v>28</v>
      </c>
      <c r="N10" s="92">
        <v>30</v>
      </c>
    </row>
    <row r="11" spans="2:14" x14ac:dyDescent="0.25">
      <c r="B11" s="91" t="s">
        <v>495</v>
      </c>
      <c r="C11" s="181">
        <f t="shared" ref="C11:N11" si="1">(C5-C10)/C5</f>
        <v>0.2</v>
      </c>
      <c r="D11" s="181">
        <f t="shared" si="1"/>
        <v>0.16666666666666666</v>
      </c>
      <c r="E11" s="181">
        <f t="shared" si="1"/>
        <v>0.14285714285714285</v>
      </c>
      <c r="F11" s="181">
        <f t="shared" si="1"/>
        <v>0.125</v>
      </c>
      <c r="G11" s="181">
        <f t="shared" si="1"/>
        <v>0.1111111111111111</v>
      </c>
      <c r="H11" s="181">
        <f t="shared" si="1"/>
        <v>0.1</v>
      </c>
      <c r="I11" s="181">
        <f t="shared" si="1"/>
        <v>9.0909090909090912E-2</v>
      </c>
      <c r="J11" s="181">
        <f t="shared" si="1"/>
        <v>8.3333333333333329E-2</v>
      </c>
      <c r="K11" s="181">
        <f t="shared" si="1"/>
        <v>7.6923076923076927E-2</v>
      </c>
      <c r="L11" s="181">
        <f t="shared" si="1"/>
        <v>7.1428571428571425E-2</v>
      </c>
      <c r="M11" s="181">
        <f t="shared" si="1"/>
        <v>6.6666666666666666E-2</v>
      </c>
      <c r="N11" s="181">
        <f t="shared" si="1"/>
        <v>6.25E-2</v>
      </c>
    </row>
    <row r="13" spans="2:14" x14ac:dyDescent="0.25">
      <c r="B13" s="196" t="s">
        <v>505</v>
      </c>
    </row>
    <row r="14" spans="2:14" x14ac:dyDescent="0.25">
      <c r="B14" s="95" t="s">
        <v>500</v>
      </c>
      <c r="C14" s="89" t="s">
        <v>466</v>
      </c>
      <c r="D14" s="89" t="s">
        <v>296</v>
      </c>
      <c r="E14" s="89" t="s">
        <v>297</v>
      </c>
      <c r="F14" s="89" t="s">
        <v>298</v>
      </c>
      <c r="G14" s="89" t="s">
        <v>299</v>
      </c>
      <c r="H14" s="89" t="s">
        <v>300</v>
      </c>
      <c r="I14" s="89" t="s">
        <v>301</v>
      </c>
      <c r="J14" s="89" t="s">
        <v>302</v>
      </c>
      <c r="K14" s="89" t="s">
        <v>303</v>
      </c>
      <c r="L14" s="89" t="s">
        <v>304</v>
      </c>
      <c r="M14" s="89" t="s">
        <v>305</v>
      </c>
      <c r="N14" s="89" t="s">
        <v>306</v>
      </c>
    </row>
    <row r="15" spans="2:14" x14ac:dyDescent="0.25">
      <c r="B15" s="91" t="s">
        <v>470</v>
      </c>
      <c r="C15" s="92">
        <v>10</v>
      </c>
      <c r="D15" s="92">
        <v>10</v>
      </c>
      <c r="E15" s="92">
        <v>10</v>
      </c>
      <c r="F15" s="92">
        <v>10</v>
      </c>
      <c r="G15" s="92">
        <v>10</v>
      </c>
      <c r="H15" s="92">
        <v>10</v>
      </c>
      <c r="I15" s="92">
        <v>10</v>
      </c>
      <c r="J15" s="92">
        <v>10</v>
      </c>
      <c r="K15" s="92">
        <v>10</v>
      </c>
      <c r="L15" s="92">
        <v>10</v>
      </c>
      <c r="M15" s="92">
        <v>10</v>
      </c>
      <c r="N15" s="92">
        <v>10</v>
      </c>
    </row>
    <row r="16" spans="2:14" x14ac:dyDescent="0.25">
      <c r="B16" s="91" t="s">
        <v>471</v>
      </c>
      <c r="C16" s="92">
        <v>10</v>
      </c>
      <c r="D16" s="92">
        <v>10</v>
      </c>
      <c r="E16" s="92">
        <v>10</v>
      </c>
      <c r="F16" s="92">
        <v>10</v>
      </c>
      <c r="G16" s="92">
        <v>10</v>
      </c>
      <c r="H16" s="92">
        <v>10</v>
      </c>
      <c r="I16" s="92">
        <v>10</v>
      </c>
      <c r="J16" s="92">
        <v>10</v>
      </c>
      <c r="K16" s="92">
        <v>10</v>
      </c>
      <c r="L16" s="92">
        <v>10</v>
      </c>
      <c r="M16" s="92">
        <v>10</v>
      </c>
      <c r="N16" s="92">
        <v>10</v>
      </c>
    </row>
    <row r="17" spans="2:14" x14ac:dyDescent="0.25">
      <c r="B17" s="91" t="s">
        <v>496</v>
      </c>
      <c r="C17" s="181">
        <f t="shared" ref="C17:N17" si="2">C15/C5</f>
        <v>1</v>
      </c>
      <c r="D17" s="181">
        <f t="shared" si="2"/>
        <v>0.83333333333333337</v>
      </c>
      <c r="E17" s="181">
        <f t="shared" si="2"/>
        <v>0.7142857142857143</v>
      </c>
      <c r="F17" s="181">
        <f t="shared" si="2"/>
        <v>0.625</v>
      </c>
      <c r="G17" s="181">
        <f t="shared" si="2"/>
        <v>0.55555555555555558</v>
      </c>
      <c r="H17" s="181">
        <f t="shared" si="2"/>
        <v>0.5</v>
      </c>
      <c r="I17" s="181">
        <f t="shared" si="2"/>
        <v>0.45454545454545453</v>
      </c>
      <c r="J17" s="181">
        <f t="shared" si="2"/>
        <v>0.41666666666666669</v>
      </c>
      <c r="K17" s="181">
        <f t="shared" si="2"/>
        <v>0.38461538461538464</v>
      </c>
      <c r="L17" s="181">
        <f t="shared" si="2"/>
        <v>0.35714285714285715</v>
      </c>
      <c r="M17" s="181">
        <f t="shared" si="2"/>
        <v>0.33333333333333331</v>
      </c>
      <c r="N17" s="181">
        <f t="shared" si="2"/>
        <v>0.3125</v>
      </c>
    </row>
    <row r="18" spans="2:14" x14ac:dyDescent="0.25">
      <c r="B18" s="91" t="s">
        <v>497</v>
      </c>
      <c r="C18" s="181">
        <f t="shared" ref="C18:N18" si="3">C16/C5</f>
        <v>1</v>
      </c>
      <c r="D18" s="181">
        <f t="shared" si="3"/>
        <v>0.83333333333333337</v>
      </c>
      <c r="E18" s="181">
        <f t="shared" si="3"/>
        <v>0.7142857142857143</v>
      </c>
      <c r="F18" s="181">
        <f t="shared" si="3"/>
        <v>0.625</v>
      </c>
      <c r="G18" s="181">
        <f t="shared" si="3"/>
        <v>0.55555555555555558</v>
      </c>
      <c r="H18" s="181">
        <f t="shared" si="3"/>
        <v>0.5</v>
      </c>
      <c r="I18" s="181">
        <f t="shared" si="3"/>
        <v>0.45454545454545453</v>
      </c>
      <c r="J18" s="181">
        <f t="shared" si="3"/>
        <v>0.41666666666666669</v>
      </c>
      <c r="K18" s="181">
        <f t="shared" si="3"/>
        <v>0.38461538461538464</v>
      </c>
      <c r="L18" s="181">
        <f t="shared" si="3"/>
        <v>0.35714285714285715</v>
      </c>
      <c r="M18" s="181">
        <f t="shared" si="3"/>
        <v>0.33333333333333331</v>
      </c>
      <c r="N18" s="181">
        <f t="shared" si="3"/>
        <v>0.3125</v>
      </c>
    </row>
    <row r="20" spans="2:14" x14ac:dyDescent="0.25">
      <c r="B20" s="196" t="s">
        <v>506</v>
      </c>
    </row>
    <row r="21" spans="2:14" x14ac:dyDescent="0.25">
      <c r="B21" s="95" t="s">
        <v>501</v>
      </c>
      <c r="C21" s="89" t="s">
        <v>466</v>
      </c>
      <c r="D21" s="89" t="s">
        <v>296</v>
      </c>
      <c r="E21" s="89" t="s">
        <v>297</v>
      </c>
      <c r="F21" s="89" t="s">
        <v>298</v>
      </c>
      <c r="G21" s="89" t="s">
        <v>299</v>
      </c>
      <c r="H21" s="89" t="s">
        <v>300</v>
      </c>
      <c r="I21" s="89" t="s">
        <v>301</v>
      </c>
      <c r="J21" s="89" t="s">
        <v>302</v>
      </c>
      <c r="K21" s="89" t="s">
        <v>303</v>
      </c>
      <c r="L21" s="89" t="s">
        <v>304</v>
      </c>
      <c r="M21" s="89" t="s">
        <v>305</v>
      </c>
      <c r="N21" s="89" t="s">
        <v>306</v>
      </c>
    </row>
    <row r="22" spans="2:14" x14ac:dyDescent="0.25">
      <c r="B22" s="91" t="s">
        <v>220</v>
      </c>
      <c r="C22" s="92"/>
      <c r="D22" s="92"/>
      <c r="E22" s="92"/>
      <c r="F22" s="92"/>
      <c r="G22" s="92"/>
      <c r="H22" s="92"/>
      <c r="I22" s="92"/>
      <c r="J22" s="92"/>
      <c r="K22" s="92"/>
      <c r="L22" s="92"/>
      <c r="M22" s="92"/>
      <c r="N22" s="92"/>
    </row>
    <row r="23" spans="2:14" x14ac:dyDescent="0.25">
      <c r="B23" s="91" t="s">
        <v>502</v>
      </c>
      <c r="C23" s="92"/>
      <c r="D23" s="92"/>
      <c r="E23" s="92"/>
      <c r="F23" s="92"/>
      <c r="G23" s="92"/>
      <c r="H23" s="92"/>
      <c r="I23" s="92"/>
      <c r="J23" s="92"/>
      <c r="K23" s="92"/>
      <c r="L23" s="92"/>
      <c r="M23" s="92"/>
      <c r="N23" s="92"/>
    </row>
    <row r="24" spans="2:14" x14ac:dyDescent="0.25">
      <c r="B24" s="91" t="s">
        <v>472</v>
      </c>
      <c r="C24" s="92"/>
      <c r="D24" s="92"/>
      <c r="E24" s="92"/>
      <c r="F24" s="92"/>
      <c r="G24" s="92"/>
      <c r="H24" s="92"/>
      <c r="I24" s="92"/>
      <c r="J24" s="92"/>
      <c r="K24" s="92"/>
      <c r="L24" s="92"/>
      <c r="M24" s="92"/>
      <c r="N24" s="92"/>
    </row>
  </sheetData>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6"/>
  <sheetViews>
    <sheetView showGridLines="0" zoomScale="85" zoomScaleNormal="85" workbookViewId="0">
      <selection activeCell="N14" sqref="N14"/>
    </sheetView>
  </sheetViews>
  <sheetFormatPr defaultRowHeight="14.4" x14ac:dyDescent="0.25"/>
  <cols>
    <col min="1" max="1" width="6.44140625" style="40" customWidth="1"/>
    <col min="2" max="2" width="10.6640625" style="40" customWidth="1"/>
    <col min="3" max="3" width="8.33203125" style="40" customWidth="1"/>
    <col min="4" max="4" width="11.109375" style="40" customWidth="1"/>
    <col min="5" max="5" width="10.88671875" style="40" customWidth="1"/>
    <col min="6" max="6" width="11.109375" style="40" customWidth="1"/>
    <col min="7" max="7" width="9.77734375" style="40" customWidth="1"/>
    <col min="8" max="8" width="13.21875" style="40" customWidth="1"/>
    <col min="9" max="9" width="17" style="40" customWidth="1"/>
    <col min="10" max="10" width="16.21875" style="40" customWidth="1"/>
    <col min="11" max="11" width="18.33203125" style="40" customWidth="1"/>
    <col min="12" max="12" width="9.33203125" style="40" customWidth="1"/>
    <col min="13" max="13" width="14.88671875" style="40" customWidth="1"/>
    <col min="14" max="14" width="9.5546875" style="40" customWidth="1"/>
    <col min="15" max="15" width="10.33203125" style="40" customWidth="1"/>
    <col min="16" max="16" width="14.5546875" style="40" customWidth="1"/>
    <col min="17" max="17" width="11.6640625" style="40" bestFit="1" customWidth="1"/>
    <col min="18" max="20" width="10.77734375" style="40" customWidth="1"/>
    <col min="21" max="16384" width="8.88671875" style="40"/>
  </cols>
  <sheetData>
    <row r="1" spans="1:22" x14ac:dyDescent="0.25">
      <c r="A1" s="41" t="s">
        <v>142</v>
      </c>
      <c r="B1" s="41" t="s">
        <v>273</v>
      </c>
      <c r="C1" s="41" t="s">
        <v>226</v>
      </c>
      <c r="D1" s="41" t="s">
        <v>274</v>
      </c>
      <c r="E1" s="41" t="s">
        <v>275</v>
      </c>
      <c r="F1" s="41" t="s">
        <v>276</v>
      </c>
      <c r="G1" s="41" t="s">
        <v>277</v>
      </c>
      <c r="H1" s="41" t="s">
        <v>278</v>
      </c>
      <c r="I1" s="41" t="s">
        <v>279</v>
      </c>
      <c r="J1" s="41" t="s">
        <v>280</v>
      </c>
      <c r="K1" s="41" t="s">
        <v>281</v>
      </c>
      <c r="L1" s="41" t="s">
        <v>282</v>
      </c>
      <c r="M1" s="41" t="s">
        <v>283</v>
      </c>
      <c r="N1" s="41" t="s">
        <v>228</v>
      </c>
      <c r="O1" s="41" t="s">
        <v>230</v>
      </c>
      <c r="P1" s="41" t="s">
        <v>232</v>
      </c>
      <c r="Q1" s="41" t="s">
        <v>284</v>
      </c>
      <c r="R1" s="41" t="s">
        <v>285</v>
      </c>
      <c r="S1" s="41" t="s">
        <v>286</v>
      </c>
      <c r="T1" s="41" t="s">
        <v>287</v>
      </c>
      <c r="V1" s="136"/>
    </row>
    <row r="2" spans="1:22" ht="91.8" customHeight="1" x14ac:dyDescent="0.25">
      <c r="A2" s="369">
        <v>1</v>
      </c>
      <c r="B2" s="370" t="s">
        <v>143</v>
      </c>
      <c r="C2" s="137"/>
      <c r="D2" s="138"/>
      <c r="E2" s="139"/>
      <c r="F2" s="140"/>
      <c r="G2" s="141" t="s">
        <v>144</v>
      </c>
      <c r="H2" s="141" t="s">
        <v>288</v>
      </c>
      <c r="I2" s="141"/>
      <c r="J2" s="374"/>
      <c r="K2" s="376" t="s">
        <v>262</v>
      </c>
      <c r="L2" s="378"/>
      <c r="M2" s="380"/>
      <c r="N2" s="380"/>
      <c r="O2" s="380"/>
      <c r="P2" s="142"/>
      <c r="Q2" s="139"/>
      <c r="R2" s="143"/>
      <c r="S2" s="144"/>
      <c r="T2" s="145"/>
    </row>
    <row r="3" spans="1:22" ht="85.8" customHeight="1" x14ac:dyDescent="0.25">
      <c r="A3" s="369"/>
      <c r="B3" s="367"/>
      <c r="C3" s="146"/>
      <c r="D3" s="147"/>
      <c r="E3" s="148"/>
      <c r="F3" s="149"/>
      <c r="G3" s="141" t="s">
        <v>144</v>
      </c>
      <c r="H3" s="141" t="s">
        <v>288</v>
      </c>
      <c r="I3" s="141"/>
      <c r="J3" s="375"/>
      <c r="K3" s="377"/>
      <c r="L3" s="379"/>
      <c r="M3" s="381"/>
      <c r="N3" s="381"/>
      <c r="O3" s="381"/>
      <c r="P3" s="150"/>
      <c r="Q3" s="139"/>
      <c r="R3" s="143"/>
      <c r="S3" s="144"/>
      <c r="T3" s="145"/>
    </row>
    <row r="4" spans="1:22" x14ac:dyDescent="0.25">
      <c r="A4" s="369"/>
      <c r="B4" s="367"/>
      <c r="C4" s="146"/>
      <c r="D4" s="363" t="s">
        <v>289</v>
      </c>
      <c r="E4" s="366">
        <f>SUM(E2:E3)</f>
        <v>0</v>
      </c>
      <c r="F4" s="151"/>
      <c r="G4" s="151"/>
      <c r="H4" s="151"/>
      <c r="I4" s="151"/>
      <c r="J4" s="152"/>
      <c r="K4" s="151"/>
      <c r="L4" s="153"/>
      <c r="M4" s="381"/>
      <c r="N4" s="381"/>
      <c r="O4" s="381"/>
      <c r="P4" s="150"/>
      <c r="Q4" s="154"/>
      <c r="R4" s="143"/>
      <c r="S4" s="144"/>
      <c r="T4" s="155"/>
    </row>
    <row r="5" spans="1:22" x14ac:dyDescent="0.25">
      <c r="A5" s="369"/>
      <c r="B5" s="367"/>
      <c r="C5" s="146"/>
      <c r="D5" s="364"/>
      <c r="E5" s="367"/>
      <c r="F5" s="156"/>
      <c r="G5" s="156"/>
      <c r="H5" s="156"/>
      <c r="I5" s="156"/>
      <c r="J5" s="157"/>
      <c r="K5" s="156"/>
      <c r="L5" s="158"/>
      <c r="M5" s="381"/>
      <c r="N5" s="381"/>
      <c r="O5" s="381"/>
      <c r="P5" s="150"/>
      <c r="Q5" s="154"/>
      <c r="R5" s="143"/>
      <c r="S5" s="144"/>
      <c r="T5" s="155"/>
    </row>
    <row r="6" spans="1:22" x14ac:dyDescent="0.25">
      <c r="A6" s="369"/>
      <c r="B6" s="368"/>
      <c r="C6" s="159"/>
      <c r="D6" s="365"/>
      <c r="E6" s="368"/>
      <c r="F6" s="160"/>
      <c r="G6" s="160"/>
      <c r="H6" s="160"/>
      <c r="I6" s="160"/>
      <c r="J6" s="161"/>
      <c r="K6" s="160"/>
      <c r="L6" s="162"/>
      <c r="M6" s="382"/>
      <c r="N6" s="382"/>
      <c r="O6" s="382"/>
      <c r="P6" s="163"/>
      <c r="Q6" s="164">
        <f>SUM(Q2:Q5)</f>
        <v>0</v>
      </c>
      <c r="R6" s="371"/>
      <c r="S6" s="372"/>
      <c r="T6" s="373"/>
    </row>
  </sheetData>
  <mergeCells count="11">
    <mergeCell ref="D4:D6"/>
    <mergeCell ref="E4:E6"/>
    <mergeCell ref="A2:A6"/>
    <mergeCell ref="B2:B6"/>
    <mergeCell ref="R6:T6"/>
    <mergeCell ref="J2:J3"/>
    <mergeCell ref="K2:K3"/>
    <mergeCell ref="L2:L3"/>
    <mergeCell ref="M2:M6"/>
    <mergeCell ref="N2:N6"/>
    <mergeCell ref="O2:O6"/>
  </mergeCells>
  <phoneticPr fontId="13"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9"/>
  <sheetViews>
    <sheetView zoomScaleNormal="100" workbookViewId="0">
      <selection activeCell="G23" sqref="G23"/>
    </sheetView>
  </sheetViews>
  <sheetFormatPr defaultRowHeight="14.4" x14ac:dyDescent="0.25"/>
  <cols>
    <col min="1" max="1" width="23" style="40" customWidth="1"/>
    <col min="2" max="6" width="21.109375" style="40" customWidth="1"/>
    <col min="7" max="7" width="14.6640625" style="40" bestFit="1" customWidth="1"/>
    <col min="8" max="16384" width="8.88671875" style="40"/>
  </cols>
  <sheetData>
    <row r="1" spans="1:7" x14ac:dyDescent="0.25">
      <c r="A1" s="40" t="s">
        <v>492</v>
      </c>
    </row>
    <row r="2" spans="1:7" x14ac:dyDescent="0.25">
      <c r="A2" s="41" t="s">
        <v>254</v>
      </c>
      <c r="B2" s="41" t="s">
        <v>252</v>
      </c>
      <c r="C2" s="41" t="s">
        <v>253</v>
      </c>
      <c r="D2" s="41" t="s">
        <v>57</v>
      </c>
    </row>
    <row r="3" spans="1:7" x14ac:dyDescent="0.25">
      <c r="A3" s="168" t="s">
        <v>255</v>
      </c>
      <c r="B3" s="165"/>
      <c r="C3" s="165"/>
      <c r="D3" s="165"/>
    </row>
    <row r="4" spans="1:7" x14ac:dyDescent="0.25">
      <c r="A4" s="168" t="s">
        <v>256</v>
      </c>
      <c r="B4" s="165"/>
      <c r="C4" s="165"/>
      <c r="D4" s="165"/>
    </row>
    <row r="5" spans="1:7" x14ac:dyDescent="0.25">
      <c r="A5" s="168" t="s">
        <v>257</v>
      </c>
      <c r="B5" s="165"/>
      <c r="C5" s="165"/>
      <c r="D5" s="165"/>
    </row>
    <row r="6" spans="1:7" x14ac:dyDescent="0.25">
      <c r="A6" s="168" t="s">
        <v>258</v>
      </c>
      <c r="B6" s="165"/>
      <c r="C6" s="165"/>
      <c r="D6" s="165"/>
    </row>
    <row r="9" spans="1:7" x14ac:dyDescent="0.25">
      <c r="A9" s="40" t="s">
        <v>493</v>
      </c>
    </row>
    <row r="10" spans="1:7" x14ac:dyDescent="0.25">
      <c r="A10" s="41" t="s">
        <v>197</v>
      </c>
      <c r="B10" s="41" t="s">
        <v>225</v>
      </c>
      <c r="C10" s="41" t="s">
        <v>194</v>
      </c>
      <c r="D10" s="41" t="s">
        <v>227</v>
      </c>
      <c r="E10" s="41" t="s">
        <v>229</v>
      </c>
      <c r="F10" s="41" t="s">
        <v>612</v>
      </c>
      <c r="G10" s="41" t="s">
        <v>231</v>
      </c>
    </row>
    <row r="11" spans="1:7" ht="33.6" customHeight="1" x14ac:dyDescent="0.25">
      <c r="A11" s="165"/>
      <c r="B11" s="165"/>
      <c r="C11" s="165"/>
      <c r="D11" s="165"/>
      <c r="E11" s="165"/>
      <c r="F11" s="165"/>
      <c r="G11" s="165"/>
    </row>
    <row r="14" spans="1:7" x14ac:dyDescent="0.25">
      <c r="A14" s="40" t="s">
        <v>195</v>
      </c>
    </row>
    <row r="15" spans="1:7" x14ac:dyDescent="0.25">
      <c r="A15" s="42" t="s">
        <v>494</v>
      </c>
      <c r="B15" s="41"/>
      <c r="C15" s="41"/>
      <c r="D15" s="41"/>
      <c r="E15" s="41"/>
    </row>
    <row r="16" spans="1:7" x14ac:dyDescent="0.25">
      <c r="A16" s="41" t="s">
        <v>130</v>
      </c>
      <c r="B16" s="41" t="s">
        <v>141</v>
      </c>
      <c r="C16" s="41" t="s">
        <v>131</v>
      </c>
      <c r="D16" s="41" t="s">
        <v>140</v>
      </c>
      <c r="E16" s="41" t="s">
        <v>132</v>
      </c>
    </row>
    <row r="17" spans="1:5" x14ac:dyDescent="0.25">
      <c r="A17" s="41" t="s">
        <v>133</v>
      </c>
      <c r="B17" s="166">
        <v>12000</v>
      </c>
      <c r="C17" s="167">
        <v>0.65375502590201162</v>
      </c>
      <c r="D17" s="166">
        <v>597.7828497500002</v>
      </c>
      <c r="E17" s="166"/>
    </row>
    <row r="18" spans="1:5" x14ac:dyDescent="0.25">
      <c r="A18" s="41" t="s">
        <v>134</v>
      </c>
      <c r="B18" s="166">
        <v>3000</v>
      </c>
      <c r="C18" s="167">
        <v>0.1794006052631221</v>
      </c>
      <c r="D18" s="166">
        <v>328.0819292000001</v>
      </c>
      <c r="E18" s="166"/>
    </row>
    <row r="19" spans="1:5" x14ac:dyDescent="0.25">
      <c r="A19" s="41" t="s">
        <v>135</v>
      </c>
      <c r="B19" s="166">
        <v>2000</v>
      </c>
      <c r="C19" s="167">
        <v>9.9573734545459425E-2</v>
      </c>
      <c r="D19" s="166">
        <v>546.29151689999981</v>
      </c>
      <c r="E19" s="166"/>
    </row>
    <row r="20" spans="1:5" x14ac:dyDescent="0.25">
      <c r="A20" s="41" t="s">
        <v>136</v>
      </c>
      <c r="B20" s="166">
        <v>800</v>
      </c>
      <c r="C20" s="167">
        <v>4.5024406799464844E-2</v>
      </c>
      <c r="D20" s="166">
        <v>411.69577500000003</v>
      </c>
      <c r="E20" s="166"/>
    </row>
    <row r="21" spans="1:5" x14ac:dyDescent="0.25">
      <c r="A21" s="41" t="s">
        <v>137</v>
      </c>
      <c r="B21" s="166">
        <v>60</v>
      </c>
      <c r="C21" s="167">
        <v>3.4490501890859795E-3</v>
      </c>
      <c r="D21" s="166">
        <v>50.460076799999996</v>
      </c>
      <c r="E21" s="166"/>
    </row>
    <row r="22" spans="1:5" x14ac:dyDescent="0.25">
      <c r="A22" s="41" t="s">
        <v>138</v>
      </c>
      <c r="B22" s="166">
        <v>30</v>
      </c>
      <c r="C22" s="167">
        <v>1.8797177300855845E-2</v>
      </c>
      <c r="D22" s="166">
        <v>343.75659899999999</v>
      </c>
      <c r="E22" s="166"/>
    </row>
    <row r="23" spans="1:5" x14ac:dyDescent="0.25">
      <c r="A23" s="41" t="s">
        <v>139</v>
      </c>
      <c r="B23" s="166"/>
      <c r="C23" s="167"/>
      <c r="D23" s="166"/>
      <c r="E23" s="166"/>
    </row>
    <row r="24" spans="1:5" x14ac:dyDescent="0.25">
      <c r="A24" s="41" t="s">
        <v>8</v>
      </c>
      <c r="B24" s="166">
        <f>SUM(B17:B23)</f>
        <v>17890</v>
      </c>
      <c r="C24" s="167"/>
      <c r="D24" s="166">
        <f>SUM(D17:D23)</f>
        <v>2278.0687466499999</v>
      </c>
      <c r="E24" s="166"/>
    </row>
    <row r="27" spans="1:5" x14ac:dyDescent="0.25">
      <c r="A27" s="40" t="s">
        <v>196</v>
      </c>
    </row>
    <row r="28" spans="1:5" x14ac:dyDescent="0.25">
      <c r="A28" s="41" t="s">
        <v>197</v>
      </c>
      <c r="B28" s="41" t="s">
        <v>198</v>
      </c>
      <c r="C28" s="41" t="s">
        <v>136</v>
      </c>
      <c r="D28" s="41" t="s">
        <v>137</v>
      </c>
      <c r="E28" s="41" t="s">
        <v>199</v>
      </c>
    </row>
    <row r="29" spans="1:5" x14ac:dyDescent="0.25">
      <c r="A29" s="165"/>
      <c r="B29" s="165"/>
      <c r="C29" s="165"/>
      <c r="D29" s="165"/>
      <c r="E29" s="165"/>
    </row>
  </sheetData>
  <phoneticPr fontId="13" type="noConversion"/>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workbookViewId="0">
      <selection activeCell="K15" sqref="K15"/>
    </sheetView>
  </sheetViews>
  <sheetFormatPr defaultRowHeight="14.4" x14ac:dyDescent="0.25"/>
  <cols>
    <col min="1" max="1" width="21.44140625" customWidth="1"/>
    <col min="2" max="4" width="15.21875" customWidth="1"/>
    <col min="5" max="5" width="18.6640625" customWidth="1"/>
  </cols>
  <sheetData>
    <row r="2" spans="1:5" s="40" customFormat="1" x14ac:dyDescent="0.25">
      <c r="A2" s="40" t="s">
        <v>507</v>
      </c>
    </row>
    <row r="3" spans="1:5" s="40" customFormat="1" x14ac:dyDescent="0.25">
      <c r="A3" s="41" t="s">
        <v>508</v>
      </c>
      <c r="B3" s="41" t="s">
        <v>510</v>
      </c>
      <c r="C3" s="41" t="s">
        <v>509</v>
      </c>
      <c r="D3" s="41" t="s">
        <v>511</v>
      </c>
      <c r="E3" s="41" t="s">
        <v>512</v>
      </c>
    </row>
    <row r="4" spans="1:5" s="40" customFormat="1" ht="21.6" customHeight="1" x14ac:dyDescent="0.25">
      <c r="A4" s="165"/>
      <c r="B4" s="165"/>
      <c r="C4" s="165"/>
      <c r="D4" s="165"/>
      <c r="E4" s="165"/>
    </row>
  </sheetData>
  <phoneticPr fontId="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G8"/>
  <sheetViews>
    <sheetView topLeftCell="A2" zoomScaleNormal="100" workbookViewId="0">
      <selection activeCell="F28" sqref="F28"/>
    </sheetView>
  </sheetViews>
  <sheetFormatPr defaultRowHeight="14.4" x14ac:dyDescent="0.25"/>
  <cols>
    <col min="1" max="7" width="23" style="79" customWidth="1"/>
    <col min="8" max="16384" width="8.88671875" style="79"/>
  </cols>
  <sheetData>
    <row r="2" spans="1:7" x14ac:dyDescent="0.25">
      <c r="A2" s="79" t="s">
        <v>207</v>
      </c>
    </row>
    <row r="3" spans="1:7" x14ac:dyDescent="0.25">
      <c r="A3" s="41" t="s">
        <v>200</v>
      </c>
      <c r="B3" s="88" t="s">
        <v>201</v>
      </c>
      <c r="C3" s="41" t="s">
        <v>202</v>
      </c>
      <c r="D3" s="41" t="s">
        <v>203</v>
      </c>
      <c r="E3" s="41" t="s">
        <v>204</v>
      </c>
      <c r="F3" s="41" t="s">
        <v>205</v>
      </c>
      <c r="G3" s="41" t="s">
        <v>206</v>
      </c>
    </row>
    <row r="4" spans="1:7" ht="33.6" customHeight="1" x14ac:dyDescent="0.25">
      <c r="A4" s="86"/>
      <c r="B4" s="87"/>
      <c r="C4" s="86"/>
      <c r="D4" s="86"/>
      <c r="E4" s="86"/>
      <c r="F4" s="86"/>
      <c r="G4" s="86"/>
    </row>
    <row r="6" spans="1:7" x14ac:dyDescent="0.25">
      <c r="A6" s="79" t="s">
        <v>208</v>
      </c>
    </row>
    <row r="7" spans="1:7" x14ac:dyDescent="0.25">
      <c r="A7" s="41" t="s">
        <v>209</v>
      </c>
      <c r="B7" s="88" t="s">
        <v>210</v>
      </c>
      <c r="C7" s="41" t="s">
        <v>211</v>
      </c>
      <c r="D7" s="41" t="s">
        <v>212</v>
      </c>
      <c r="E7" s="41" t="s">
        <v>213</v>
      </c>
      <c r="F7" s="41" t="s">
        <v>214</v>
      </c>
      <c r="G7" s="41" t="s">
        <v>206</v>
      </c>
    </row>
    <row r="8" spans="1:7" x14ac:dyDescent="0.25">
      <c r="A8" s="86"/>
      <c r="B8" s="87"/>
      <c r="C8" s="86"/>
      <c r="D8" s="86"/>
      <c r="E8" s="86"/>
      <c r="F8" s="86"/>
      <c r="G8" s="86"/>
    </row>
  </sheetData>
  <phoneticPr fontId="7"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6"/>
  <sheetViews>
    <sheetView zoomScale="145" zoomScaleNormal="145" workbookViewId="0">
      <selection activeCell="E9" sqref="E9"/>
    </sheetView>
  </sheetViews>
  <sheetFormatPr defaultRowHeight="10.8" x14ac:dyDescent="0.25"/>
  <cols>
    <col min="1" max="2" width="3.21875" style="197" customWidth="1"/>
    <col min="3" max="3" width="8.5546875" style="55" customWidth="1"/>
    <col min="4" max="4" width="55.6640625" style="197" customWidth="1"/>
    <col min="5" max="6" width="17" style="197" bestFit="1" customWidth="1"/>
    <col min="7" max="16384" width="8.88671875" style="197"/>
  </cols>
  <sheetData>
    <row r="2" spans="3:6" x14ac:dyDescent="0.25">
      <c r="C2" s="201" t="s">
        <v>540</v>
      </c>
    </row>
    <row r="3" spans="3:6" x14ac:dyDescent="0.15">
      <c r="C3" s="198" t="s">
        <v>513</v>
      </c>
      <c r="D3" s="198" t="s">
        <v>602</v>
      </c>
      <c r="E3" s="198" t="s">
        <v>514</v>
      </c>
      <c r="F3" s="198" t="s">
        <v>515</v>
      </c>
    </row>
    <row r="4" spans="3:6" x14ac:dyDescent="0.25">
      <c r="C4" s="199">
        <v>1</v>
      </c>
      <c r="D4" s="200" t="s">
        <v>516</v>
      </c>
      <c r="E4" s="203" t="s">
        <v>517</v>
      </c>
      <c r="F4" s="203" t="s">
        <v>518</v>
      </c>
    </row>
    <row r="5" spans="3:6" x14ac:dyDescent="0.25">
      <c r="C5" s="199">
        <v>2</v>
      </c>
      <c r="D5" s="200" t="s">
        <v>569</v>
      </c>
      <c r="E5" s="203" t="s">
        <v>519</v>
      </c>
      <c r="F5" s="203" t="s">
        <v>520</v>
      </c>
    </row>
    <row r="6" spans="3:6" x14ac:dyDescent="0.25">
      <c r="C6" s="199">
        <v>3</v>
      </c>
      <c r="D6" s="200" t="s">
        <v>541</v>
      </c>
      <c r="E6" s="203" t="s">
        <v>521</v>
      </c>
      <c r="F6" s="203" t="s">
        <v>522</v>
      </c>
    </row>
    <row r="7" spans="3:6" x14ac:dyDescent="0.25">
      <c r="C7" s="199">
        <v>4</v>
      </c>
      <c r="D7" s="200" t="s">
        <v>542</v>
      </c>
      <c r="E7" s="203" t="s">
        <v>523</v>
      </c>
      <c r="F7" s="203" t="s">
        <v>518</v>
      </c>
    </row>
    <row r="8" spans="3:6" x14ac:dyDescent="0.25">
      <c r="C8" s="199">
        <v>5</v>
      </c>
      <c r="D8" s="200" t="s">
        <v>543</v>
      </c>
      <c r="E8" s="203" t="s">
        <v>524</v>
      </c>
      <c r="F8" s="203" t="s">
        <v>525</v>
      </c>
    </row>
    <row r="9" spans="3:6" x14ac:dyDescent="0.25">
      <c r="C9" s="199">
        <v>6</v>
      </c>
      <c r="D9" s="200" t="s">
        <v>544</v>
      </c>
      <c r="E9" s="203" t="s">
        <v>526</v>
      </c>
      <c r="F9" s="203" t="s">
        <v>527</v>
      </c>
    </row>
    <row r="10" spans="3:6" x14ac:dyDescent="0.25">
      <c r="C10" s="199">
        <v>7</v>
      </c>
      <c r="D10" s="200" t="s">
        <v>545</v>
      </c>
      <c r="E10" s="203" t="s">
        <v>528</v>
      </c>
      <c r="F10" s="203" t="s">
        <v>529</v>
      </c>
    </row>
    <row r="11" spans="3:6" x14ac:dyDescent="0.25">
      <c r="C11" s="199">
        <v>8</v>
      </c>
      <c r="D11" s="200" t="s">
        <v>546</v>
      </c>
      <c r="E11" s="203" t="s">
        <v>521</v>
      </c>
      <c r="F11" s="203" t="s">
        <v>530</v>
      </c>
    </row>
    <row r="12" spans="3:6" x14ac:dyDescent="0.25">
      <c r="C12" s="199">
        <v>9</v>
      </c>
      <c r="D12" s="200" t="s">
        <v>531</v>
      </c>
      <c r="E12" s="203" t="s">
        <v>521</v>
      </c>
      <c r="F12" s="203" t="s">
        <v>532</v>
      </c>
    </row>
    <row r="13" spans="3:6" x14ac:dyDescent="0.25">
      <c r="C13" s="199">
        <v>10</v>
      </c>
      <c r="D13" s="200" t="s">
        <v>533</v>
      </c>
      <c r="E13" s="203" t="s">
        <v>521</v>
      </c>
      <c r="F13" s="203" t="s">
        <v>534</v>
      </c>
    </row>
    <row r="14" spans="3:6" x14ac:dyDescent="0.25">
      <c r="C14" s="199">
        <v>11</v>
      </c>
      <c r="D14" s="200" t="s">
        <v>535</v>
      </c>
      <c r="E14" s="203" t="s">
        <v>521</v>
      </c>
      <c r="F14" s="203" t="s">
        <v>536</v>
      </c>
    </row>
    <row r="15" spans="3:6" x14ac:dyDescent="0.25">
      <c r="C15" s="199">
        <v>12</v>
      </c>
      <c r="D15" s="200" t="s">
        <v>537</v>
      </c>
      <c r="E15" s="203" t="s">
        <v>538</v>
      </c>
      <c r="F15" s="203" t="s">
        <v>539</v>
      </c>
    </row>
    <row r="16" spans="3:6" x14ac:dyDescent="0.25">
      <c r="C16" s="199">
        <v>13</v>
      </c>
      <c r="D16" s="200" t="s">
        <v>547</v>
      </c>
      <c r="E16" s="203" t="s">
        <v>521</v>
      </c>
      <c r="F16" s="203" t="s">
        <v>532</v>
      </c>
    </row>
  </sheetData>
  <phoneticPr fontId="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27"/>
  <sheetViews>
    <sheetView zoomScale="145" zoomScaleNormal="145" workbookViewId="0">
      <selection activeCell="F20" sqref="F20"/>
    </sheetView>
  </sheetViews>
  <sheetFormatPr defaultRowHeight="10.8" x14ac:dyDescent="0.25"/>
  <cols>
    <col min="1" max="2" width="3.21875" style="197" customWidth="1"/>
    <col min="3" max="3" width="8.5546875" style="55" customWidth="1"/>
    <col min="4" max="4" width="55.6640625" style="197" customWidth="1"/>
    <col min="5" max="6" width="17" style="197" bestFit="1" customWidth="1"/>
    <col min="7" max="16384" width="8.88671875" style="197"/>
  </cols>
  <sheetData>
    <row r="2" spans="3:6" x14ac:dyDescent="0.25">
      <c r="C2" s="202" t="s">
        <v>601</v>
      </c>
    </row>
    <row r="3" spans="3:6" x14ac:dyDescent="0.15">
      <c r="C3" s="198" t="s">
        <v>513</v>
      </c>
      <c r="D3" s="198" t="s">
        <v>602</v>
      </c>
      <c r="E3" s="198" t="s">
        <v>514</v>
      </c>
      <c r="F3" s="198" t="s">
        <v>515</v>
      </c>
    </row>
    <row r="4" spans="3:6" x14ac:dyDescent="0.25">
      <c r="C4" s="199">
        <v>1</v>
      </c>
      <c r="D4" s="200" t="s">
        <v>560</v>
      </c>
      <c r="E4" s="200" t="s">
        <v>548</v>
      </c>
      <c r="F4" s="200" t="s">
        <v>549</v>
      </c>
    </row>
    <row r="5" spans="3:6" x14ac:dyDescent="0.25">
      <c r="C5" s="199">
        <v>2</v>
      </c>
      <c r="D5" s="200" t="s">
        <v>561</v>
      </c>
      <c r="E5" s="200" t="s">
        <v>550</v>
      </c>
      <c r="F5" s="200" t="s">
        <v>551</v>
      </c>
    </row>
    <row r="6" spans="3:6" x14ac:dyDescent="0.25">
      <c r="C6" s="199">
        <v>3</v>
      </c>
      <c r="D6" s="200" t="s">
        <v>562</v>
      </c>
      <c r="E6" s="200" t="s">
        <v>521</v>
      </c>
      <c r="F6" s="200" t="s">
        <v>552</v>
      </c>
    </row>
    <row r="7" spans="3:6" x14ac:dyDescent="0.25">
      <c r="C7" s="199">
        <v>4</v>
      </c>
      <c r="D7" s="200" t="s">
        <v>563</v>
      </c>
      <c r="E7" s="200" t="s">
        <v>553</v>
      </c>
      <c r="F7" s="200" t="s">
        <v>606</v>
      </c>
    </row>
    <row r="8" spans="3:6" x14ac:dyDescent="0.25">
      <c r="C8" s="199">
        <v>5</v>
      </c>
      <c r="D8" s="200" t="s">
        <v>564</v>
      </c>
      <c r="E8" s="200" t="s">
        <v>554</v>
      </c>
      <c r="F8" s="200" t="s">
        <v>607</v>
      </c>
    </row>
    <row r="9" spans="3:6" x14ac:dyDescent="0.25">
      <c r="C9" s="199">
        <v>6</v>
      </c>
      <c r="D9" s="200" t="s">
        <v>565</v>
      </c>
      <c r="E9" s="200" t="s">
        <v>555</v>
      </c>
      <c r="F9" s="200" t="s">
        <v>608</v>
      </c>
    </row>
    <row r="10" spans="3:6" x14ac:dyDescent="0.25">
      <c r="C10" s="199">
        <v>7</v>
      </c>
      <c r="D10" s="200" t="s">
        <v>566</v>
      </c>
      <c r="E10" s="200" t="s">
        <v>556</v>
      </c>
      <c r="F10" s="200" t="s">
        <v>609</v>
      </c>
    </row>
    <row r="11" spans="3:6" x14ac:dyDescent="0.25">
      <c r="C11" s="199">
        <v>8</v>
      </c>
      <c r="D11" s="200" t="s">
        <v>567</v>
      </c>
      <c r="E11" s="200" t="s">
        <v>557</v>
      </c>
      <c r="F11" s="200" t="s">
        <v>558</v>
      </c>
    </row>
    <row r="12" spans="3:6" x14ac:dyDescent="0.25">
      <c r="C12" s="199">
        <v>9</v>
      </c>
      <c r="D12" s="200" t="s">
        <v>568</v>
      </c>
      <c r="E12" s="200" t="s">
        <v>559</v>
      </c>
      <c r="F12" s="200" t="s">
        <v>610</v>
      </c>
    </row>
    <row r="13" spans="3:6" x14ac:dyDescent="0.25">
      <c r="C13" s="199">
        <v>10</v>
      </c>
      <c r="D13" s="200" t="s">
        <v>603</v>
      </c>
      <c r="E13" s="200" t="s">
        <v>570</v>
      </c>
      <c r="F13" s="200" t="s">
        <v>571</v>
      </c>
    </row>
    <row r="14" spans="3:6" x14ac:dyDescent="0.25">
      <c r="C14" s="199">
        <v>11</v>
      </c>
      <c r="D14" s="200" t="s">
        <v>604</v>
      </c>
      <c r="E14" s="200" t="s">
        <v>572</v>
      </c>
      <c r="F14" s="200" t="s">
        <v>573</v>
      </c>
    </row>
    <row r="15" spans="3:6" x14ac:dyDescent="0.25">
      <c r="C15" s="199">
        <v>12</v>
      </c>
      <c r="D15" s="200" t="s">
        <v>605</v>
      </c>
      <c r="E15" s="200" t="s">
        <v>521</v>
      </c>
      <c r="F15" s="200" t="s">
        <v>552</v>
      </c>
    </row>
    <row r="17" spans="3:6" x14ac:dyDescent="0.25">
      <c r="C17" s="201" t="s">
        <v>611</v>
      </c>
    </row>
    <row r="18" spans="3:6" x14ac:dyDescent="0.15">
      <c r="C18" s="198" t="s">
        <v>513</v>
      </c>
      <c r="D18" s="198" t="s">
        <v>602</v>
      </c>
      <c r="E18" s="198" t="s">
        <v>514</v>
      </c>
      <c r="F18" s="198" t="s">
        <v>515</v>
      </c>
    </row>
    <row r="19" spans="3:6" x14ac:dyDescent="0.25">
      <c r="C19" s="199">
        <v>1</v>
      </c>
      <c r="D19" s="200" t="s">
        <v>592</v>
      </c>
      <c r="E19" s="200" t="s">
        <v>574</v>
      </c>
      <c r="F19" s="200" t="s">
        <v>575</v>
      </c>
    </row>
    <row r="20" spans="3:6" x14ac:dyDescent="0.25">
      <c r="C20" s="199">
        <v>2</v>
      </c>
      <c r="D20" s="200" t="s">
        <v>593</v>
      </c>
      <c r="E20" s="200" t="s">
        <v>576</v>
      </c>
      <c r="F20" s="200" t="s">
        <v>577</v>
      </c>
    </row>
    <row r="21" spans="3:6" x14ac:dyDescent="0.25">
      <c r="C21" s="199">
        <v>3</v>
      </c>
      <c r="D21" s="200" t="s">
        <v>594</v>
      </c>
      <c r="E21" s="200" t="s">
        <v>578</v>
      </c>
      <c r="F21" s="200" t="s">
        <v>579</v>
      </c>
    </row>
    <row r="22" spans="3:6" x14ac:dyDescent="0.25">
      <c r="C22" s="199">
        <v>4</v>
      </c>
      <c r="D22" s="200" t="s">
        <v>595</v>
      </c>
      <c r="E22" s="200" t="s">
        <v>580</v>
      </c>
      <c r="F22" s="200" t="s">
        <v>581</v>
      </c>
    </row>
    <row r="23" spans="3:6" x14ac:dyDescent="0.25">
      <c r="C23" s="199">
        <v>5</v>
      </c>
      <c r="D23" s="200" t="s">
        <v>596</v>
      </c>
      <c r="E23" s="200" t="s">
        <v>582</v>
      </c>
      <c r="F23" s="200" t="s">
        <v>583</v>
      </c>
    </row>
    <row r="24" spans="3:6" x14ac:dyDescent="0.25">
      <c r="C24" s="199">
        <v>6</v>
      </c>
      <c r="D24" s="200" t="s">
        <v>597</v>
      </c>
      <c r="E24" s="200" t="s">
        <v>584</v>
      </c>
      <c r="F24" s="200" t="s">
        <v>585</v>
      </c>
    </row>
    <row r="25" spans="3:6" x14ac:dyDescent="0.25">
      <c r="C25" s="199">
        <v>7</v>
      </c>
      <c r="D25" s="200" t="s">
        <v>598</v>
      </c>
      <c r="E25" s="200" t="s">
        <v>586</v>
      </c>
      <c r="F25" s="200" t="s">
        <v>587</v>
      </c>
    </row>
    <row r="26" spans="3:6" x14ac:dyDescent="0.25">
      <c r="C26" s="199">
        <v>8</v>
      </c>
      <c r="D26" s="200" t="s">
        <v>599</v>
      </c>
      <c r="E26" s="200" t="s">
        <v>588</v>
      </c>
      <c r="F26" s="200" t="s">
        <v>589</v>
      </c>
    </row>
    <row r="27" spans="3:6" x14ac:dyDescent="0.25">
      <c r="C27" s="199">
        <v>9</v>
      </c>
      <c r="D27" s="200" t="s">
        <v>600</v>
      </c>
      <c r="E27" s="200" t="s">
        <v>590</v>
      </c>
      <c r="F27" s="200" t="s">
        <v>591</v>
      </c>
    </row>
  </sheetData>
  <phoneticPr fontId="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32"/>
  <sheetViews>
    <sheetView topLeftCell="A4" zoomScale="145" zoomScaleNormal="145" workbookViewId="0">
      <selection activeCell="E3" sqref="E3"/>
    </sheetView>
  </sheetViews>
  <sheetFormatPr defaultRowHeight="10.8" x14ac:dyDescent="0.25"/>
  <cols>
    <col min="1" max="2" width="3.21875" style="197" customWidth="1"/>
    <col min="3" max="3" width="8.5546875" style="55" customWidth="1"/>
    <col min="4" max="4" width="13.77734375" style="55" customWidth="1"/>
    <col min="5" max="5" width="55.6640625" style="197" customWidth="1"/>
    <col min="6" max="7" width="17" style="197" bestFit="1" customWidth="1"/>
    <col min="8" max="16384" width="8.88671875" style="197"/>
  </cols>
  <sheetData>
    <row r="2" spans="3:7" x14ac:dyDescent="0.25">
      <c r="C2" s="201" t="s">
        <v>683</v>
      </c>
      <c r="D2" s="201"/>
    </row>
    <row r="3" spans="3:7" x14ac:dyDescent="0.15">
      <c r="C3" s="198" t="s">
        <v>513</v>
      </c>
      <c r="D3" s="198" t="s">
        <v>695</v>
      </c>
      <c r="E3" s="198" t="s">
        <v>602</v>
      </c>
      <c r="F3" s="198" t="s">
        <v>514</v>
      </c>
      <c r="G3" s="198" t="s">
        <v>515</v>
      </c>
    </row>
    <row r="4" spans="3:7" x14ac:dyDescent="0.25">
      <c r="C4" s="199">
        <v>1</v>
      </c>
      <c r="D4" s="199" t="s">
        <v>690</v>
      </c>
      <c r="E4" s="200" t="s">
        <v>654</v>
      </c>
      <c r="F4" s="200" t="s">
        <v>613</v>
      </c>
      <c r="G4" s="200" t="s">
        <v>614</v>
      </c>
    </row>
    <row r="5" spans="3:7" x14ac:dyDescent="0.25">
      <c r="C5" s="199">
        <v>2</v>
      </c>
      <c r="D5" s="199" t="s">
        <v>690</v>
      </c>
      <c r="E5" s="200" t="s">
        <v>655</v>
      </c>
      <c r="F5" s="200" t="s">
        <v>615</v>
      </c>
      <c r="G5" s="200" t="s">
        <v>616</v>
      </c>
    </row>
    <row r="6" spans="3:7" x14ac:dyDescent="0.25">
      <c r="C6" s="199">
        <v>3</v>
      </c>
      <c r="D6" s="199" t="s">
        <v>690</v>
      </c>
      <c r="E6" s="200" t="s">
        <v>656</v>
      </c>
      <c r="F6" s="200" t="s">
        <v>548</v>
      </c>
      <c r="G6" s="200" t="s">
        <v>617</v>
      </c>
    </row>
    <row r="7" spans="3:7" x14ac:dyDescent="0.25">
      <c r="C7" s="199">
        <v>4</v>
      </c>
      <c r="D7" s="199" t="s">
        <v>690</v>
      </c>
      <c r="E7" s="200" t="s">
        <v>657</v>
      </c>
      <c r="F7" s="200" t="s">
        <v>517</v>
      </c>
      <c r="G7" s="200" t="s">
        <v>616</v>
      </c>
    </row>
    <row r="8" spans="3:7" x14ac:dyDescent="0.25">
      <c r="C8" s="199">
        <v>5</v>
      </c>
      <c r="D8" s="199" t="s">
        <v>690</v>
      </c>
      <c r="E8" s="200" t="s">
        <v>658</v>
      </c>
      <c r="F8" s="200" t="s">
        <v>618</v>
      </c>
      <c r="G8" s="200" t="s">
        <v>619</v>
      </c>
    </row>
    <row r="9" spans="3:7" x14ac:dyDescent="0.25">
      <c r="C9" s="199">
        <v>6</v>
      </c>
      <c r="D9" s="199" t="s">
        <v>690</v>
      </c>
      <c r="E9" s="200" t="s">
        <v>659</v>
      </c>
      <c r="F9" s="200" t="s">
        <v>620</v>
      </c>
      <c r="G9" s="200" t="s">
        <v>621</v>
      </c>
    </row>
    <row r="10" spans="3:7" x14ac:dyDescent="0.25">
      <c r="C10" s="199">
        <v>7</v>
      </c>
      <c r="D10" s="199" t="s">
        <v>690</v>
      </c>
      <c r="E10" s="200" t="s">
        <v>660</v>
      </c>
      <c r="F10" s="200" t="s">
        <v>521</v>
      </c>
      <c r="G10" s="200" t="s">
        <v>552</v>
      </c>
    </row>
    <row r="11" spans="3:7" x14ac:dyDescent="0.25">
      <c r="C11" s="199">
        <v>8</v>
      </c>
      <c r="D11" s="199" t="s">
        <v>690</v>
      </c>
      <c r="E11" s="200" t="s">
        <v>661</v>
      </c>
      <c r="F11" s="200" t="s">
        <v>521</v>
      </c>
      <c r="G11" s="200" t="s">
        <v>534</v>
      </c>
    </row>
    <row r="12" spans="3:7" x14ac:dyDescent="0.25">
      <c r="C12" s="199">
        <v>9</v>
      </c>
      <c r="D12" s="199" t="s">
        <v>690</v>
      </c>
      <c r="E12" s="200" t="s">
        <v>662</v>
      </c>
      <c r="F12" s="200" t="s">
        <v>622</v>
      </c>
      <c r="G12" s="200" t="s">
        <v>623</v>
      </c>
    </row>
    <row r="13" spans="3:7" x14ac:dyDescent="0.25">
      <c r="C13" s="199">
        <v>10</v>
      </c>
      <c r="D13" s="199" t="s">
        <v>690</v>
      </c>
      <c r="E13" s="200" t="s">
        <v>663</v>
      </c>
      <c r="F13" s="200" t="s">
        <v>624</v>
      </c>
      <c r="G13" s="200" t="s">
        <v>625</v>
      </c>
    </row>
    <row r="14" spans="3:7" x14ac:dyDescent="0.25">
      <c r="C14" s="199">
        <v>11</v>
      </c>
      <c r="D14" s="199" t="s">
        <v>689</v>
      </c>
      <c r="E14" s="200" t="s">
        <v>664</v>
      </c>
      <c r="F14" s="200" t="s">
        <v>626</v>
      </c>
      <c r="G14" s="200" t="s">
        <v>627</v>
      </c>
    </row>
    <row r="15" spans="3:7" x14ac:dyDescent="0.25">
      <c r="C15" s="199">
        <v>12</v>
      </c>
      <c r="D15" s="199" t="s">
        <v>689</v>
      </c>
      <c r="E15" s="200" t="s">
        <v>665</v>
      </c>
      <c r="F15" s="200" t="s">
        <v>628</v>
      </c>
      <c r="G15" s="200" t="s">
        <v>629</v>
      </c>
    </row>
    <row r="16" spans="3:7" x14ac:dyDescent="0.25">
      <c r="C16" s="199">
        <v>13</v>
      </c>
      <c r="D16" s="199" t="s">
        <v>689</v>
      </c>
      <c r="E16" s="200" t="s">
        <v>666</v>
      </c>
      <c r="F16" s="200" t="s">
        <v>630</v>
      </c>
      <c r="G16" s="200" t="s">
        <v>631</v>
      </c>
    </row>
    <row r="17" spans="3:7" x14ac:dyDescent="0.25">
      <c r="C17" s="199">
        <v>14</v>
      </c>
      <c r="D17" s="199" t="s">
        <v>689</v>
      </c>
      <c r="E17" s="200" t="s">
        <v>667</v>
      </c>
      <c r="F17" s="200" t="s">
        <v>624</v>
      </c>
      <c r="G17" s="200" t="s">
        <v>625</v>
      </c>
    </row>
    <row r="18" spans="3:7" x14ac:dyDescent="0.25">
      <c r="C18" s="199">
        <v>15</v>
      </c>
      <c r="D18" s="199" t="s">
        <v>691</v>
      </c>
      <c r="E18" s="200" t="s">
        <v>668</v>
      </c>
      <c r="F18" s="200" t="s">
        <v>632</v>
      </c>
      <c r="G18" s="200" t="s">
        <v>633</v>
      </c>
    </row>
    <row r="19" spans="3:7" x14ac:dyDescent="0.25">
      <c r="C19" s="199">
        <v>16</v>
      </c>
      <c r="D19" s="199" t="s">
        <v>691</v>
      </c>
      <c r="E19" s="200" t="s">
        <v>669</v>
      </c>
      <c r="F19" s="200" t="s">
        <v>634</v>
      </c>
      <c r="G19" s="200" t="s">
        <v>534</v>
      </c>
    </row>
    <row r="20" spans="3:7" x14ac:dyDescent="0.25">
      <c r="C20" s="199">
        <v>17</v>
      </c>
      <c r="D20" s="199" t="s">
        <v>691</v>
      </c>
      <c r="E20" s="200" t="s">
        <v>670</v>
      </c>
      <c r="F20" s="200" t="s">
        <v>635</v>
      </c>
      <c r="G20" s="200" t="s">
        <v>636</v>
      </c>
    </row>
    <row r="21" spans="3:7" x14ac:dyDescent="0.25">
      <c r="C21" s="199">
        <v>18</v>
      </c>
      <c r="D21" s="199" t="s">
        <v>692</v>
      </c>
      <c r="E21" s="200" t="s">
        <v>671</v>
      </c>
      <c r="F21" s="200" t="s">
        <v>521</v>
      </c>
      <c r="G21" s="200" t="s">
        <v>552</v>
      </c>
    </row>
    <row r="22" spans="3:7" x14ac:dyDescent="0.25">
      <c r="C22" s="199">
        <v>19</v>
      </c>
      <c r="D22" s="199" t="s">
        <v>692</v>
      </c>
      <c r="E22" s="200" t="s">
        <v>672</v>
      </c>
      <c r="F22" s="200" t="s">
        <v>637</v>
      </c>
      <c r="G22" s="200" t="s">
        <v>638</v>
      </c>
    </row>
    <row r="23" spans="3:7" x14ac:dyDescent="0.25">
      <c r="C23" s="199">
        <v>20</v>
      </c>
      <c r="D23" s="199" t="s">
        <v>692</v>
      </c>
      <c r="E23" s="200" t="s">
        <v>673</v>
      </c>
      <c r="F23" s="200" t="s">
        <v>639</v>
      </c>
      <c r="G23" s="200" t="s">
        <v>640</v>
      </c>
    </row>
    <row r="24" spans="3:7" x14ac:dyDescent="0.25">
      <c r="C24" s="199">
        <v>21</v>
      </c>
      <c r="D24" s="199" t="s">
        <v>692</v>
      </c>
      <c r="E24" s="200" t="s">
        <v>674</v>
      </c>
      <c r="F24" s="200" t="s">
        <v>521</v>
      </c>
      <c r="G24" s="200" t="s">
        <v>552</v>
      </c>
    </row>
    <row r="25" spans="3:7" x14ac:dyDescent="0.25">
      <c r="C25" s="199">
        <v>22</v>
      </c>
      <c r="D25" s="199" t="s">
        <v>693</v>
      </c>
      <c r="E25" s="200" t="s">
        <v>675</v>
      </c>
      <c r="F25" s="200" t="s">
        <v>641</v>
      </c>
      <c r="G25" s="200" t="s">
        <v>642</v>
      </c>
    </row>
    <row r="26" spans="3:7" x14ac:dyDescent="0.25">
      <c r="C26" s="199">
        <v>23</v>
      </c>
      <c r="D26" s="199" t="s">
        <v>693</v>
      </c>
      <c r="E26" s="200" t="s">
        <v>676</v>
      </c>
      <c r="F26" s="200" t="s">
        <v>521</v>
      </c>
      <c r="G26" s="200" t="s">
        <v>643</v>
      </c>
    </row>
    <row r="27" spans="3:7" x14ac:dyDescent="0.25">
      <c r="C27" s="199">
        <v>24</v>
      </c>
      <c r="D27" s="199" t="s">
        <v>693</v>
      </c>
      <c r="E27" s="200" t="s">
        <v>677</v>
      </c>
      <c r="F27" s="200" t="s">
        <v>644</v>
      </c>
      <c r="G27" s="200" t="s">
        <v>645</v>
      </c>
    </row>
    <row r="28" spans="3:7" x14ac:dyDescent="0.25">
      <c r="C28" s="199">
        <v>25</v>
      </c>
      <c r="D28" s="199" t="s">
        <v>693</v>
      </c>
      <c r="E28" s="200" t="s">
        <v>678</v>
      </c>
      <c r="F28" s="200" t="s">
        <v>646</v>
      </c>
      <c r="G28" s="200" t="s">
        <v>647</v>
      </c>
    </row>
    <row r="29" spans="3:7" x14ac:dyDescent="0.25">
      <c r="C29" s="199">
        <v>26</v>
      </c>
      <c r="D29" s="199" t="s">
        <v>693</v>
      </c>
      <c r="E29" s="200" t="s">
        <v>682</v>
      </c>
      <c r="F29" s="200" t="s">
        <v>521</v>
      </c>
      <c r="G29" s="200" t="s">
        <v>648</v>
      </c>
    </row>
    <row r="30" spans="3:7" x14ac:dyDescent="0.25">
      <c r="C30" s="199">
        <v>27</v>
      </c>
      <c r="D30" s="199" t="s">
        <v>693</v>
      </c>
      <c r="E30" s="200" t="s">
        <v>679</v>
      </c>
      <c r="F30" s="200" t="s">
        <v>649</v>
      </c>
      <c r="G30" s="200" t="s">
        <v>650</v>
      </c>
    </row>
    <row r="31" spans="3:7" x14ac:dyDescent="0.25">
      <c r="C31" s="199">
        <v>28</v>
      </c>
      <c r="D31" s="199" t="s">
        <v>694</v>
      </c>
      <c r="E31" s="200" t="s">
        <v>680</v>
      </c>
      <c r="F31" s="200" t="s">
        <v>651</v>
      </c>
      <c r="G31" s="200" t="s">
        <v>652</v>
      </c>
    </row>
    <row r="32" spans="3:7" x14ac:dyDescent="0.25">
      <c r="C32" s="199">
        <v>29</v>
      </c>
      <c r="D32" s="199" t="s">
        <v>694</v>
      </c>
      <c r="E32" s="200" t="s">
        <v>681</v>
      </c>
      <c r="F32" s="200" t="s">
        <v>521</v>
      </c>
      <c r="G32" s="200" t="s">
        <v>653</v>
      </c>
    </row>
  </sheetData>
  <phoneticPr fontId="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8:M120"/>
  <sheetViews>
    <sheetView showGridLines="0" topLeftCell="A65" zoomScale="145" zoomScaleNormal="145" workbookViewId="0">
      <selection activeCell="G71" sqref="G71"/>
    </sheetView>
  </sheetViews>
  <sheetFormatPr defaultRowHeight="10.8" x14ac:dyDescent="0.15"/>
  <cols>
    <col min="1" max="1" width="3.88671875" style="205" customWidth="1"/>
    <col min="2" max="2" width="12.109375" style="205" customWidth="1"/>
    <col min="3" max="3" width="8.88671875" style="205" customWidth="1"/>
    <col min="4" max="4" width="10.44140625" style="205" bestFit="1" customWidth="1"/>
    <col min="5" max="5" width="9.5546875" style="205" customWidth="1"/>
    <col min="6" max="6" width="12.44140625" style="205" bestFit="1" customWidth="1"/>
    <col min="7" max="7" width="8.88671875" style="205" customWidth="1"/>
    <col min="8" max="12" width="8.88671875" style="205"/>
    <col min="13" max="13" width="10.33203125" style="205" customWidth="1"/>
    <col min="14" max="16384" width="8.88671875" style="205"/>
  </cols>
  <sheetData>
    <row r="8" spans="2:8" ht="14.4" x14ac:dyDescent="0.15">
      <c r="H8"/>
    </row>
    <row r="14" spans="2:8" x14ac:dyDescent="0.15">
      <c r="B14" s="246" t="s">
        <v>933</v>
      </c>
      <c r="C14" s="251"/>
    </row>
    <row r="17" spans="2:6" x14ac:dyDescent="0.15">
      <c r="B17" s="244" t="s">
        <v>935</v>
      </c>
      <c r="C17" s="205" t="s">
        <v>956</v>
      </c>
    </row>
    <row r="20" spans="2:6" x14ac:dyDescent="0.15">
      <c r="B20" s="244" t="s">
        <v>916</v>
      </c>
    </row>
    <row r="21" spans="2:6" x14ac:dyDescent="0.15">
      <c r="B21" s="244"/>
    </row>
    <row r="22" spans="2:6" x14ac:dyDescent="0.15">
      <c r="C22" s="205" t="s">
        <v>911</v>
      </c>
    </row>
    <row r="24" spans="2:6" x14ac:dyDescent="0.15">
      <c r="C24" s="205" t="s">
        <v>912</v>
      </c>
      <c r="E24" s="205">
        <v>4.5999999999999996</v>
      </c>
      <c r="F24" s="205" t="s">
        <v>915</v>
      </c>
    </row>
    <row r="25" spans="2:6" x14ac:dyDescent="0.15">
      <c r="C25" s="205" t="s">
        <v>913</v>
      </c>
      <c r="E25" s="245">
        <v>0.1</v>
      </c>
    </row>
    <row r="26" spans="2:6" x14ac:dyDescent="0.15">
      <c r="C26" s="205" t="s">
        <v>914</v>
      </c>
      <c r="E26" s="205">
        <f>E24/E25</f>
        <v>45.999999999999993</v>
      </c>
      <c r="F26" s="205" t="s">
        <v>915</v>
      </c>
    </row>
    <row r="29" spans="2:6" x14ac:dyDescent="0.15">
      <c r="B29" s="244" t="s">
        <v>934</v>
      </c>
    </row>
    <row r="32" spans="2:6" x14ac:dyDescent="0.15">
      <c r="B32" s="247" t="s">
        <v>874</v>
      </c>
      <c r="C32" s="247" t="s">
        <v>875</v>
      </c>
      <c r="D32" s="247" t="s">
        <v>876</v>
      </c>
      <c r="E32" s="247" t="s">
        <v>877</v>
      </c>
      <c r="F32" s="247" t="s">
        <v>878</v>
      </c>
    </row>
    <row r="33" spans="2:6" x14ac:dyDescent="0.15">
      <c r="B33" s="247" t="s">
        <v>879</v>
      </c>
      <c r="C33" s="252"/>
      <c r="D33" s="249">
        <v>8.2799999999999994</v>
      </c>
      <c r="E33" s="252">
        <v>0.08</v>
      </c>
      <c r="F33" s="249"/>
    </row>
    <row r="34" spans="2:6" x14ac:dyDescent="0.15">
      <c r="B34" s="247" t="s">
        <v>880</v>
      </c>
      <c r="C34" s="252">
        <v>0.1</v>
      </c>
      <c r="D34" s="249">
        <f>D33*(1+C34)</f>
        <v>9.1080000000000005</v>
      </c>
      <c r="E34" s="249">
        <f>1/(1+E33)</f>
        <v>0.92592592592592582</v>
      </c>
      <c r="F34" s="249">
        <f>D34*E34</f>
        <v>8.4333333333333336</v>
      </c>
    </row>
    <row r="35" spans="2:6" x14ac:dyDescent="0.15">
      <c r="B35" s="247" t="s">
        <v>881</v>
      </c>
      <c r="C35" s="252">
        <v>0.1</v>
      </c>
      <c r="D35" s="249">
        <f t="shared" ref="D35:D43" si="0">D34*(1+C35)</f>
        <v>10.018800000000001</v>
      </c>
      <c r="E35" s="249">
        <f t="shared" ref="E35:E43" si="1">E34/(1+$E$33)</f>
        <v>0.8573388203017831</v>
      </c>
      <c r="F35" s="249">
        <f t="shared" ref="F35:F44" si="2">D35*E35</f>
        <v>8.5895061728395046</v>
      </c>
    </row>
    <row r="36" spans="2:6" x14ac:dyDescent="0.15">
      <c r="B36" s="247" t="s">
        <v>882</v>
      </c>
      <c r="C36" s="252">
        <v>0.1</v>
      </c>
      <c r="D36" s="249">
        <f t="shared" si="0"/>
        <v>11.020680000000002</v>
      </c>
      <c r="E36" s="249">
        <f t="shared" si="1"/>
        <v>0.79383224102016947</v>
      </c>
      <c r="F36" s="249">
        <f t="shared" si="2"/>
        <v>8.7485711019661636</v>
      </c>
    </row>
    <row r="37" spans="2:6" x14ac:dyDescent="0.15">
      <c r="B37" s="247" t="s">
        <v>883</v>
      </c>
      <c r="C37" s="252">
        <v>0.1</v>
      </c>
      <c r="D37" s="249">
        <f t="shared" si="0"/>
        <v>12.122748000000003</v>
      </c>
      <c r="E37" s="249">
        <f t="shared" si="1"/>
        <v>0.73502985279645316</v>
      </c>
      <c r="F37" s="249">
        <f t="shared" si="2"/>
        <v>8.9105816779284996</v>
      </c>
    </row>
    <row r="38" spans="2:6" x14ac:dyDescent="0.15">
      <c r="B38" s="247" t="s">
        <v>884</v>
      </c>
      <c r="C38" s="252">
        <v>0.1</v>
      </c>
      <c r="D38" s="249">
        <f t="shared" si="0"/>
        <v>13.335022800000004</v>
      </c>
      <c r="E38" s="249">
        <f t="shared" si="1"/>
        <v>0.68058319703375292</v>
      </c>
      <c r="F38" s="249">
        <f t="shared" si="2"/>
        <v>9.0755924497419898</v>
      </c>
    </row>
    <row r="39" spans="2:6" x14ac:dyDescent="0.15">
      <c r="B39" s="247" t="s">
        <v>885</v>
      </c>
      <c r="C39" s="252">
        <v>0.1</v>
      </c>
      <c r="D39" s="249">
        <f t="shared" si="0"/>
        <v>14.668525080000006</v>
      </c>
      <c r="E39" s="249">
        <f t="shared" si="1"/>
        <v>0.63016962688310452</v>
      </c>
      <c r="F39" s="249">
        <f t="shared" si="2"/>
        <v>9.2436589765890638</v>
      </c>
    </row>
    <row r="40" spans="2:6" x14ac:dyDescent="0.15">
      <c r="B40" s="247" t="s">
        <v>886</v>
      </c>
      <c r="C40" s="252">
        <v>0.1</v>
      </c>
      <c r="D40" s="249">
        <f t="shared" si="0"/>
        <v>16.135377588000008</v>
      </c>
      <c r="E40" s="249">
        <f t="shared" si="1"/>
        <v>0.58349039526213375</v>
      </c>
      <c r="F40" s="249">
        <f t="shared" si="2"/>
        <v>9.4148378465258986</v>
      </c>
    </row>
    <row r="41" spans="2:6" x14ac:dyDescent="0.15">
      <c r="B41" s="247" t="s">
        <v>887</v>
      </c>
      <c r="C41" s="252">
        <v>0.1</v>
      </c>
      <c r="D41" s="249">
        <f t="shared" si="0"/>
        <v>17.748915346800011</v>
      </c>
      <c r="E41" s="249">
        <f t="shared" si="1"/>
        <v>0.54026888450197563</v>
      </c>
      <c r="F41" s="249">
        <f t="shared" si="2"/>
        <v>9.5891866955356377</v>
      </c>
    </row>
    <row r="42" spans="2:6" x14ac:dyDescent="0.15">
      <c r="B42" s="247" t="s">
        <v>888</v>
      </c>
      <c r="C42" s="252">
        <v>0.1</v>
      </c>
      <c r="D42" s="249">
        <f t="shared" si="0"/>
        <v>19.523806881480013</v>
      </c>
      <c r="E42" s="249">
        <f t="shared" si="1"/>
        <v>0.50024896713145883</v>
      </c>
      <c r="F42" s="249">
        <f t="shared" si="2"/>
        <v>9.7667642269344448</v>
      </c>
    </row>
    <row r="43" spans="2:6" x14ac:dyDescent="0.15">
      <c r="B43" s="247" t="s">
        <v>889</v>
      </c>
      <c r="C43" s="252">
        <v>0.1</v>
      </c>
      <c r="D43" s="249">
        <f t="shared" si="0"/>
        <v>21.476187569628017</v>
      </c>
      <c r="E43" s="249">
        <f t="shared" si="1"/>
        <v>0.46319348808468408</v>
      </c>
      <c r="F43" s="249">
        <f t="shared" si="2"/>
        <v>9.9476302311369356</v>
      </c>
    </row>
    <row r="44" spans="2:6" x14ac:dyDescent="0.15">
      <c r="B44" s="247" t="s">
        <v>890</v>
      </c>
      <c r="C44" s="252">
        <v>0.02</v>
      </c>
      <c r="D44" s="249">
        <f>D43*(1+C44)/(E33-C44)</f>
        <v>365.09518868367633</v>
      </c>
      <c r="E44" s="249">
        <f>E43</f>
        <v>0.46319348808468408</v>
      </c>
      <c r="F44" s="249">
        <f t="shared" si="2"/>
        <v>169.10971392932791</v>
      </c>
    </row>
    <row r="45" spans="2:6" x14ac:dyDescent="0.15">
      <c r="B45" s="247" t="s">
        <v>957</v>
      </c>
      <c r="C45" s="249"/>
      <c r="D45" s="249"/>
      <c r="E45" s="249"/>
      <c r="F45" s="255">
        <f>SUM(F34:F44)</f>
        <v>260.82937664185937</v>
      </c>
    </row>
    <row r="50" spans="2:3" x14ac:dyDescent="0.15">
      <c r="B50" s="246" t="s">
        <v>937</v>
      </c>
      <c r="C50" s="251"/>
    </row>
    <row r="52" spans="2:3" x14ac:dyDescent="0.15">
      <c r="B52" s="244" t="s">
        <v>935</v>
      </c>
      <c r="C52" s="205" t="s">
        <v>958</v>
      </c>
    </row>
    <row r="53" spans="2:3" x14ac:dyDescent="0.15">
      <c r="B53" s="244" t="s">
        <v>936</v>
      </c>
      <c r="C53" s="205" t="s">
        <v>959</v>
      </c>
    </row>
    <row r="54" spans="2:3" x14ac:dyDescent="0.15">
      <c r="B54" s="244"/>
    </row>
    <row r="56" spans="2:3" x14ac:dyDescent="0.15">
      <c r="B56" s="244" t="s">
        <v>935</v>
      </c>
      <c r="C56" s="205" t="s">
        <v>938</v>
      </c>
    </row>
    <row r="57" spans="2:3" x14ac:dyDescent="0.15">
      <c r="B57" s="244" t="s">
        <v>936</v>
      </c>
      <c r="C57" s="205" t="s">
        <v>928</v>
      </c>
    </row>
    <row r="58" spans="2:3" x14ac:dyDescent="0.15">
      <c r="C58" s="205" t="s">
        <v>917</v>
      </c>
    </row>
    <row r="59" spans="2:3" x14ac:dyDescent="0.15">
      <c r="C59" s="205" t="s">
        <v>918</v>
      </c>
    </row>
    <row r="60" spans="2:3" x14ac:dyDescent="0.15">
      <c r="C60" s="205" t="s">
        <v>919</v>
      </c>
    </row>
    <row r="73" spans="2:13" x14ac:dyDescent="0.15">
      <c r="B73" s="205" t="s">
        <v>945</v>
      </c>
      <c r="J73" s="205" t="s">
        <v>946</v>
      </c>
    </row>
    <row r="74" spans="2:13" x14ac:dyDescent="0.15">
      <c r="B74" s="247" t="s">
        <v>874</v>
      </c>
      <c r="C74" s="247" t="s">
        <v>922</v>
      </c>
      <c r="D74" s="383" t="s">
        <v>923</v>
      </c>
      <c r="E74" s="384"/>
      <c r="F74" s="383" t="s">
        <v>929</v>
      </c>
      <c r="G74" s="384"/>
      <c r="H74" s="385" t="s">
        <v>876</v>
      </c>
      <c r="J74" s="387" t="s">
        <v>947</v>
      </c>
      <c r="K74" s="388"/>
      <c r="L74" s="205" t="s">
        <v>935</v>
      </c>
      <c r="M74" s="205" t="s">
        <v>932</v>
      </c>
    </row>
    <row r="75" spans="2:13" x14ac:dyDescent="0.15">
      <c r="B75" s="247"/>
      <c r="C75" s="248" t="s">
        <v>920</v>
      </c>
      <c r="D75" s="247" t="s">
        <v>924</v>
      </c>
      <c r="E75" s="247" t="s">
        <v>925</v>
      </c>
      <c r="F75" s="247" t="s">
        <v>926</v>
      </c>
      <c r="G75" s="247" t="s">
        <v>927</v>
      </c>
      <c r="H75" s="386"/>
      <c r="J75" s="247" t="s">
        <v>939</v>
      </c>
      <c r="K75" s="247" t="s">
        <v>940</v>
      </c>
      <c r="L75" s="205" t="s">
        <v>936</v>
      </c>
      <c r="M75" s="205" t="s">
        <v>930</v>
      </c>
    </row>
    <row r="76" spans="2:13" x14ac:dyDescent="0.15">
      <c r="B76" s="247" t="s">
        <v>941</v>
      </c>
      <c r="C76" s="249">
        <v>8.5</v>
      </c>
      <c r="D76" s="249">
        <v>1.2</v>
      </c>
      <c r="E76" s="249">
        <v>6</v>
      </c>
      <c r="F76" s="249">
        <v>1.5</v>
      </c>
      <c r="G76" s="249">
        <v>3.5</v>
      </c>
      <c r="H76" s="249">
        <f>C76+D76-E76-F76+G76</f>
        <v>5.6999999999999993</v>
      </c>
      <c r="J76" s="249">
        <f>D76-E76-F76+G76</f>
        <v>-2.8</v>
      </c>
      <c r="K76" s="252">
        <f>-J76/C76</f>
        <v>0.32941176470588235</v>
      </c>
      <c r="M76" s="205" t="s">
        <v>931</v>
      </c>
    </row>
    <row r="77" spans="2:13" x14ac:dyDescent="0.15">
      <c r="B77" s="247" t="s">
        <v>942</v>
      </c>
      <c r="C77" s="249">
        <v>8.5</v>
      </c>
      <c r="D77" s="249">
        <v>1.2</v>
      </c>
      <c r="E77" s="249">
        <v>6</v>
      </c>
      <c r="F77" s="249">
        <v>1.5</v>
      </c>
      <c r="G77" s="249">
        <v>3.5</v>
      </c>
      <c r="H77" s="249">
        <f t="shared" ref="H77:H79" si="3">C77+D77-E77-F77+G77</f>
        <v>5.6999999999999993</v>
      </c>
      <c r="J77" s="249">
        <f t="shared" ref="J77:J79" si="4">D77-E77-F77+G77</f>
        <v>-2.8</v>
      </c>
      <c r="K77" s="252">
        <f t="shared" ref="K77:K79" si="5">-J77/C77</f>
        <v>0.32941176470588235</v>
      </c>
    </row>
    <row r="78" spans="2:13" x14ac:dyDescent="0.15">
      <c r="B78" s="247" t="s">
        <v>943</v>
      </c>
      <c r="C78" s="249">
        <v>8.5</v>
      </c>
      <c r="D78" s="249">
        <v>1.2</v>
      </c>
      <c r="E78" s="249">
        <v>6</v>
      </c>
      <c r="F78" s="249">
        <v>1.5</v>
      </c>
      <c r="G78" s="249">
        <v>3.5</v>
      </c>
      <c r="H78" s="249">
        <f t="shared" si="3"/>
        <v>5.6999999999999993</v>
      </c>
      <c r="J78" s="249">
        <f t="shared" si="4"/>
        <v>-2.8</v>
      </c>
      <c r="K78" s="252">
        <f t="shared" si="5"/>
        <v>0.32941176470588235</v>
      </c>
    </row>
    <row r="79" spans="2:13" x14ac:dyDescent="0.15">
      <c r="B79" s="247" t="s">
        <v>944</v>
      </c>
      <c r="C79" s="249">
        <v>8.5</v>
      </c>
      <c r="D79" s="249">
        <v>1.2</v>
      </c>
      <c r="E79" s="249">
        <v>6</v>
      </c>
      <c r="F79" s="249">
        <v>1.5</v>
      </c>
      <c r="G79" s="249">
        <v>3.5</v>
      </c>
      <c r="H79" s="249">
        <f t="shared" si="3"/>
        <v>5.6999999999999993</v>
      </c>
      <c r="J79" s="249">
        <f t="shared" si="4"/>
        <v>-2.8</v>
      </c>
      <c r="K79" s="252">
        <f t="shared" si="5"/>
        <v>0.32941176470588235</v>
      </c>
    </row>
    <row r="80" spans="2:13" x14ac:dyDescent="0.15">
      <c r="B80" s="247"/>
      <c r="C80" s="249"/>
      <c r="D80" s="249"/>
      <c r="E80" s="249"/>
      <c r="F80" s="249"/>
      <c r="G80" s="249"/>
      <c r="H80" s="249"/>
      <c r="J80" s="249"/>
      <c r="K80" s="253">
        <f>AVERAGE(K76:K79)</f>
        <v>0.32941176470588235</v>
      </c>
    </row>
    <row r="83" spans="2:8" x14ac:dyDescent="0.15">
      <c r="B83" s="205" t="s">
        <v>949</v>
      </c>
    </row>
    <row r="85" spans="2:8" x14ac:dyDescent="0.15">
      <c r="B85" s="247" t="s">
        <v>874</v>
      </c>
      <c r="C85" s="247" t="s">
        <v>875</v>
      </c>
      <c r="D85" s="247" t="s">
        <v>921</v>
      </c>
      <c r="E85" s="247" t="s">
        <v>948</v>
      </c>
      <c r="F85" s="247" t="s">
        <v>876</v>
      </c>
      <c r="G85" s="247" t="s">
        <v>877</v>
      </c>
      <c r="H85" s="247" t="s">
        <v>878</v>
      </c>
    </row>
    <row r="86" spans="2:8" x14ac:dyDescent="0.15">
      <c r="B86" s="247" t="s">
        <v>879</v>
      </c>
      <c r="C86" s="252"/>
      <c r="D86" s="249">
        <f>C79</f>
        <v>8.5</v>
      </c>
      <c r="E86" s="249"/>
      <c r="F86" s="249"/>
      <c r="G86" s="252">
        <v>0.08</v>
      </c>
      <c r="H86" s="249"/>
    </row>
    <row r="87" spans="2:8" x14ac:dyDescent="0.15">
      <c r="B87" s="247" t="s">
        <v>880</v>
      </c>
      <c r="C87" s="252">
        <v>0.1</v>
      </c>
      <c r="D87" s="249">
        <f>D86*(1+C87)</f>
        <v>9.3500000000000014</v>
      </c>
      <c r="E87" s="249">
        <f>D87*$K$80</f>
        <v>3.0800000000000005</v>
      </c>
      <c r="F87" s="249">
        <f>D87-E87</f>
        <v>6.2700000000000014</v>
      </c>
      <c r="G87" s="249">
        <f>1/(1+$G$86)</f>
        <v>0.92592592592592582</v>
      </c>
      <c r="H87" s="249">
        <f t="shared" ref="H87:H96" si="6">D87*G87</f>
        <v>8.6574074074074083</v>
      </c>
    </row>
    <row r="88" spans="2:8" x14ac:dyDescent="0.15">
      <c r="B88" s="247" t="s">
        <v>881</v>
      </c>
      <c r="C88" s="252">
        <v>0.1</v>
      </c>
      <c r="D88" s="249">
        <f t="shared" ref="D88:D96" si="7">D87*(1+C88)</f>
        <v>10.285000000000002</v>
      </c>
      <c r="E88" s="249">
        <f t="shared" ref="E88:E96" si="8">D88*$K$80</f>
        <v>3.3880000000000008</v>
      </c>
      <c r="F88" s="249">
        <f t="shared" ref="F88:F96" si="9">D88-E88</f>
        <v>6.8970000000000011</v>
      </c>
      <c r="G88" s="249">
        <f>G87/(1+$G$86)</f>
        <v>0.8573388203017831</v>
      </c>
      <c r="H88" s="249">
        <f t="shared" si="6"/>
        <v>8.8177297668038417</v>
      </c>
    </row>
    <row r="89" spans="2:8" x14ac:dyDescent="0.15">
      <c r="B89" s="247" t="s">
        <v>882</v>
      </c>
      <c r="C89" s="252">
        <v>0.1</v>
      </c>
      <c r="D89" s="249">
        <f t="shared" si="7"/>
        <v>11.313500000000003</v>
      </c>
      <c r="E89" s="249">
        <f t="shared" si="8"/>
        <v>3.7268000000000008</v>
      </c>
      <c r="F89" s="249">
        <f t="shared" si="9"/>
        <v>7.5867000000000022</v>
      </c>
      <c r="G89" s="249">
        <f t="shared" ref="G89:G96" si="10">G88/(1+$G$86)</f>
        <v>0.79383224102016947</v>
      </c>
      <c r="H89" s="249">
        <f t="shared" si="6"/>
        <v>8.981021058781689</v>
      </c>
    </row>
    <row r="90" spans="2:8" x14ac:dyDescent="0.15">
      <c r="B90" s="247" t="s">
        <v>883</v>
      </c>
      <c r="C90" s="252">
        <v>0.1</v>
      </c>
      <c r="D90" s="249">
        <f t="shared" si="7"/>
        <v>12.444850000000004</v>
      </c>
      <c r="E90" s="249">
        <f t="shared" si="8"/>
        <v>4.0994800000000016</v>
      </c>
      <c r="F90" s="249">
        <f t="shared" si="9"/>
        <v>8.3453700000000026</v>
      </c>
      <c r="G90" s="249">
        <f t="shared" si="10"/>
        <v>0.73502985279645316</v>
      </c>
      <c r="H90" s="249">
        <f t="shared" si="6"/>
        <v>9.1473362635739424</v>
      </c>
    </row>
    <row r="91" spans="2:8" x14ac:dyDescent="0.15">
      <c r="B91" s="247" t="s">
        <v>884</v>
      </c>
      <c r="C91" s="252">
        <v>0.1</v>
      </c>
      <c r="D91" s="249">
        <f t="shared" si="7"/>
        <v>13.689335000000005</v>
      </c>
      <c r="E91" s="249">
        <f t="shared" si="8"/>
        <v>4.5094280000000015</v>
      </c>
      <c r="F91" s="249">
        <f t="shared" si="9"/>
        <v>9.1799070000000036</v>
      </c>
      <c r="G91" s="249">
        <f t="shared" si="10"/>
        <v>0.68058319703375292</v>
      </c>
      <c r="H91" s="249">
        <f t="shared" si="6"/>
        <v>9.316731379566054</v>
      </c>
    </row>
    <row r="92" spans="2:8" x14ac:dyDescent="0.15">
      <c r="B92" s="247" t="s">
        <v>885</v>
      </c>
      <c r="C92" s="252">
        <v>0.1</v>
      </c>
      <c r="D92" s="249">
        <f t="shared" si="7"/>
        <v>15.058268500000008</v>
      </c>
      <c r="E92" s="249">
        <f t="shared" si="8"/>
        <v>4.9603708000000024</v>
      </c>
      <c r="F92" s="249">
        <f t="shared" si="9"/>
        <v>10.097897700000004</v>
      </c>
      <c r="G92" s="249">
        <f t="shared" si="10"/>
        <v>0.63016962688310452</v>
      </c>
      <c r="H92" s="249">
        <f t="shared" si="6"/>
        <v>9.4892634421506106</v>
      </c>
    </row>
    <row r="93" spans="2:8" x14ac:dyDescent="0.15">
      <c r="B93" s="247" t="s">
        <v>886</v>
      </c>
      <c r="C93" s="252">
        <v>0.1</v>
      </c>
      <c r="D93" s="249">
        <f t="shared" si="7"/>
        <v>16.564095350000009</v>
      </c>
      <c r="E93" s="249">
        <f t="shared" si="8"/>
        <v>5.4564078800000031</v>
      </c>
      <c r="F93" s="249">
        <f t="shared" si="9"/>
        <v>11.107687470000005</v>
      </c>
      <c r="G93" s="249">
        <f t="shared" si="10"/>
        <v>0.58349039526213375</v>
      </c>
      <c r="H93" s="249">
        <f t="shared" si="6"/>
        <v>9.6649905429311769</v>
      </c>
    </row>
    <row r="94" spans="2:8" x14ac:dyDescent="0.15">
      <c r="B94" s="247" t="s">
        <v>887</v>
      </c>
      <c r="C94" s="252">
        <v>0.1</v>
      </c>
      <c r="D94" s="249">
        <f t="shared" si="7"/>
        <v>18.220504885000011</v>
      </c>
      <c r="E94" s="249">
        <f t="shared" si="8"/>
        <v>6.0020486680000031</v>
      </c>
      <c r="F94" s="249">
        <f t="shared" si="9"/>
        <v>12.218456217000007</v>
      </c>
      <c r="G94" s="249">
        <f t="shared" si="10"/>
        <v>0.54026888450197563</v>
      </c>
      <c r="H94" s="249">
        <f t="shared" si="6"/>
        <v>9.8439718492817541</v>
      </c>
    </row>
    <row r="95" spans="2:8" x14ac:dyDescent="0.15">
      <c r="B95" s="247" t="s">
        <v>888</v>
      </c>
      <c r="C95" s="252">
        <v>0.1</v>
      </c>
      <c r="D95" s="249">
        <f t="shared" si="7"/>
        <v>20.042555373500015</v>
      </c>
      <c r="E95" s="249">
        <f t="shared" si="8"/>
        <v>6.6022535348000044</v>
      </c>
      <c r="F95" s="249">
        <f t="shared" si="9"/>
        <v>13.440301838700011</v>
      </c>
      <c r="G95" s="249">
        <f t="shared" si="10"/>
        <v>0.50024896713145883</v>
      </c>
      <c r="H95" s="249">
        <f t="shared" si="6"/>
        <v>10.026267624268453</v>
      </c>
    </row>
    <row r="96" spans="2:8" x14ac:dyDescent="0.15">
      <c r="B96" s="247" t="s">
        <v>889</v>
      </c>
      <c r="C96" s="252">
        <v>0.1</v>
      </c>
      <c r="D96" s="249">
        <f t="shared" si="7"/>
        <v>22.04681091085002</v>
      </c>
      <c r="E96" s="249">
        <f t="shared" si="8"/>
        <v>7.2624788882800067</v>
      </c>
      <c r="F96" s="249">
        <f t="shared" si="9"/>
        <v>14.784332022570013</v>
      </c>
      <c r="G96" s="249">
        <f t="shared" si="10"/>
        <v>0.46319348808468408</v>
      </c>
      <c r="H96" s="249">
        <f t="shared" si="6"/>
        <v>10.211939246940092</v>
      </c>
    </row>
    <row r="97" spans="2:8" x14ac:dyDescent="0.15">
      <c r="B97" s="247" t="s">
        <v>890</v>
      </c>
      <c r="C97" s="252">
        <v>0.02</v>
      </c>
      <c r="D97" s="249"/>
      <c r="E97" s="249"/>
      <c r="F97" s="249">
        <f>F96*(1+C97)/(G86-C97)</f>
        <v>251.33364438369023</v>
      </c>
      <c r="G97" s="249">
        <f>G96</f>
        <v>0.46319348808468408</v>
      </c>
      <c r="H97" s="249">
        <f>F97*G97</f>
        <v>116.41610741511704</v>
      </c>
    </row>
    <row r="98" spans="2:8" x14ac:dyDescent="0.15">
      <c r="B98" s="247" t="s">
        <v>951</v>
      </c>
      <c r="C98" s="249"/>
      <c r="D98" s="249"/>
      <c r="E98" s="249"/>
      <c r="F98" s="249"/>
      <c r="G98" s="249"/>
      <c r="H98" s="255">
        <f>SUM(H87:H97)</f>
        <v>210.57276599682206</v>
      </c>
    </row>
    <row r="100" spans="2:8" x14ac:dyDescent="0.15">
      <c r="H100" s="250"/>
    </row>
    <row r="101" spans="2:8" x14ac:dyDescent="0.15">
      <c r="B101" s="205" t="s">
        <v>950</v>
      </c>
    </row>
    <row r="103" spans="2:8" x14ac:dyDescent="0.15">
      <c r="B103" s="205" t="s">
        <v>935</v>
      </c>
      <c r="C103" s="205" t="str">
        <f>C17</f>
        <v>股权价值反映一家企业对股东而言价值几何。可用市值来理解。</v>
      </c>
    </row>
    <row r="104" spans="2:8" x14ac:dyDescent="0.15">
      <c r="B104" s="205" t="s">
        <v>936</v>
      </c>
      <c r="C104" s="205" t="s">
        <v>960</v>
      </c>
    </row>
    <row r="106" spans="2:8" x14ac:dyDescent="0.15">
      <c r="C106" s="256" t="s">
        <v>952</v>
      </c>
      <c r="D106" s="257">
        <f>H98</f>
        <v>210.57276599682206</v>
      </c>
    </row>
    <row r="107" spans="2:8" x14ac:dyDescent="0.15">
      <c r="C107" s="256" t="s">
        <v>953</v>
      </c>
      <c r="D107" s="257">
        <v>80</v>
      </c>
    </row>
    <row r="108" spans="2:8" x14ac:dyDescent="0.15">
      <c r="C108" s="256" t="s">
        <v>954</v>
      </c>
      <c r="D108" s="257">
        <v>10</v>
      </c>
    </row>
    <row r="109" spans="2:8" x14ac:dyDescent="0.15">
      <c r="C109" s="258" t="s">
        <v>955</v>
      </c>
      <c r="D109" s="259">
        <f>SUM(D106:D108)</f>
        <v>300.57276599682206</v>
      </c>
    </row>
    <row r="119" spans="4:9" x14ac:dyDescent="0.15">
      <c r="D119" s="254"/>
      <c r="E119" s="254"/>
      <c r="F119" s="254"/>
      <c r="G119" s="254"/>
      <c r="H119" s="254"/>
      <c r="I119" s="254"/>
    </row>
    <row r="120" spans="4:9" x14ac:dyDescent="0.15">
      <c r="E120" s="250"/>
      <c r="F120" s="250"/>
      <c r="G120" s="250"/>
      <c r="H120" s="250"/>
      <c r="I120" s="250"/>
    </row>
  </sheetData>
  <mergeCells count="4">
    <mergeCell ref="D74:E74"/>
    <mergeCell ref="F74:G74"/>
    <mergeCell ref="H74:H75"/>
    <mergeCell ref="J74:K74"/>
  </mergeCells>
  <phoneticPr fontId="7" type="noConversion"/>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12"/>
  <sheetViews>
    <sheetView showGridLines="0" tabSelected="1" zoomScale="115" zoomScaleNormal="115" workbookViewId="0">
      <selection activeCell="I14" sqref="I14"/>
    </sheetView>
  </sheetViews>
  <sheetFormatPr defaultRowHeight="14.4" x14ac:dyDescent="0.25"/>
  <cols>
    <col min="1" max="1" width="5.21875" customWidth="1"/>
    <col min="2" max="9" width="8.109375" customWidth="1"/>
    <col min="10" max="10" width="9.33203125" bestFit="1" customWidth="1"/>
  </cols>
  <sheetData>
    <row r="9" spans="2:10" x14ac:dyDescent="0.15">
      <c r="B9" s="204" t="s">
        <v>874</v>
      </c>
      <c r="C9" s="204" t="s">
        <v>900</v>
      </c>
      <c r="D9" s="204" t="s">
        <v>901</v>
      </c>
      <c r="E9" s="204" t="s">
        <v>902</v>
      </c>
      <c r="F9" s="204" t="s">
        <v>903</v>
      </c>
      <c r="G9" s="204" t="s">
        <v>904</v>
      </c>
      <c r="H9" s="204" t="s">
        <v>905</v>
      </c>
      <c r="I9" s="204" t="s">
        <v>910</v>
      </c>
      <c r="J9" s="204" t="s">
        <v>908</v>
      </c>
    </row>
    <row r="10" spans="2:10" x14ac:dyDescent="0.15">
      <c r="B10" s="204" t="s">
        <v>906</v>
      </c>
      <c r="C10" s="243">
        <v>-50</v>
      </c>
      <c r="D10" s="243">
        <v>40</v>
      </c>
      <c r="E10" s="243">
        <v>15</v>
      </c>
      <c r="F10" s="243">
        <v>20</v>
      </c>
      <c r="G10" s="243">
        <v>30</v>
      </c>
      <c r="H10" s="243">
        <v>45</v>
      </c>
      <c r="I10" s="243">
        <v>50</v>
      </c>
      <c r="J10" s="242">
        <f>IRR(C10:I10)</f>
        <v>0.56631595894851228</v>
      </c>
    </row>
    <row r="11" spans="2:10" x14ac:dyDescent="0.15">
      <c r="B11" s="204" t="s">
        <v>907</v>
      </c>
      <c r="C11" s="243">
        <v>-100</v>
      </c>
      <c r="D11" s="243">
        <v>80</v>
      </c>
      <c r="E11" s="243">
        <v>40</v>
      </c>
      <c r="F11" s="243"/>
      <c r="G11" s="243"/>
      <c r="H11" s="243"/>
      <c r="I11" s="243"/>
      <c r="J11" s="242">
        <f>IRR(C11:I11)</f>
        <v>0.14833147735478769</v>
      </c>
    </row>
    <row r="12" spans="2:10" x14ac:dyDescent="0.15">
      <c r="B12" s="204" t="s">
        <v>909</v>
      </c>
      <c r="C12" s="243">
        <v>-150</v>
      </c>
      <c r="D12" s="243">
        <v>40</v>
      </c>
      <c r="E12" s="243">
        <v>15</v>
      </c>
      <c r="F12" s="243">
        <v>20</v>
      </c>
      <c r="G12" s="243">
        <v>30</v>
      </c>
      <c r="H12" s="243">
        <v>45</v>
      </c>
      <c r="I12" s="243">
        <v>50</v>
      </c>
      <c r="J12" s="242">
        <f>IRR(C12:I12)</f>
        <v>7.9918903033419531E-2</v>
      </c>
    </row>
  </sheetData>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S23"/>
  <sheetViews>
    <sheetView showGridLines="0" zoomScale="85" zoomScaleNormal="85" workbookViewId="0">
      <selection activeCell="I26" sqref="I26"/>
    </sheetView>
  </sheetViews>
  <sheetFormatPr defaultRowHeight="14.4" x14ac:dyDescent="0.25"/>
  <cols>
    <col min="1" max="1" width="6.44140625" customWidth="1"/>
    <col min="4" max="4" width="23.5546875" customWidth="1"/>
    <col min="5" max="5" width="16.21875" customWidth="1"/>
    <col min="7" max="7" width="18.88671875" customWidth="1"/>
    <col min="8" max="8" width="10.6640625" customWidth="1"/>
    <col min="9" max="9" width="12.77734375" customWidth="1"/>
    <col min="10" max="10" width="17.33203125" customWidth="1"/>
    <col min="11" max="12" width="14.88671875" customWidth="1"/>
    <col min="13" max="13" width="14.88671875" style="74" customWidth="1"/>
    <col min="14" max="14" width="13.88671875" style="74" bestFit="1" customWidth="1"/>
    <col min="15" max="17" width="13.88671875" style="74" customWidth="1"/>
    <col min="18" max="18" width="27.33203125" style="74" customWidth="1"/>
    <col min="20" max="20" width="4.6640625" customWidth="1"/>
  </cols>
  <sheetData>
    <row r="2" spans="2:19" x14ac:dyDescent="0.25">
      <c r="N2" s="326" t="s">
        <v>812</v>
      </c>
      <c r="O2" s="326"/>
      <c r="P2" s="326"/>
      <c r="Q2" s="326"/>
    </row>
    <row r="3" spans="2:19" ht="24" x14ac:dyDescent="0.25">
      <c r="B3" s="63" t="s">
        <v>90</v>
      </c>
      <c r="C3" s="63" t="s">
        <v>91</v>
      </c>
      <c r="D3" s="63" t="s">
        <v>92</v>
      </c>
      <c r="E3" s="63" t="s">
        <v>93</v>
      </c>
      <c r="F3" s="63" t="s">
        <v>94</v>
      </c>
      <c r="G3" s="84" t="s">
        <v>95</v>
      </c>
      <c r="H3" s="63" t="s">
        <v>96</v>
      </c>
      <c r="I3" s="63" t="s">
        <v>815</v>
      </c>
      <c r="J3" s="84" t="s">
        <v>97</v>
      </c>
      <c r="K3" s="64" t="s">
        <v>813</v>
      </c>
      <c r="L3" s="64" t="s">
        <v>814</v>
      </c>
      <c r="M3" s="65" t="s">
        <v>696</v>
      </c>
      <c r="N3" s="63">
        <v>2015</v>
      </c>
      <c r="O3" s="63">
        <v>2015</v>
      </c>
      <c r="P3" s="63">
        <v>2015</v>
      </c>
      <c r="Q3" s="63">
        <v>2015</v>
      </c>
      <c r="R3" s="84" t="s">
        <v>98</v>
      </c>
      <c r="S3" s="63" t="s">
        <v>99</v>
      </c>
    </row>
    <row r="4" spans="2:19" ht="14.4" customHeight="1" x14ac:dyDescent="0.25">
      <c r="B4" s="66">
        <v>1</v>
      </c>
      <c r="C4" s="67" t="s">
        <v>169</v>
      </c>
      <c r="D4" s="68" t="s">
        <v>100</v>
      </c>
      <c r="E4" s="68" t="s">
        <v>269</v>
      </c>
      <c r="F4" s="69"/>
      <c r="G4" s="327" t="s">
        <v>247</v>
      </c>
      <c r="H4" s="69"/>
      <c r="I4" s="69"/>
      <c r="J4" s="328" t="s">
        <v>248</v>
      </c>
      <c r="K4" s="69"/>
      <c r="L4" s="70"/>
      <c r="M4" s="71"/>
      <c r="N4" s="72"/>
      <c r="O4" s="72"/>
      <c r="P4" s="72"/>
      <c r="Q4" s="72"/>
      <c r="R4" s="329" t="s">
        <v>251</v>
      </c>
      <c r="S4" s="67"/>
    </row>
    <row r="5" spans="2:19" x14ac:dyDescent="0.25">
      <c r="B5" s="66">
        <v>2</v>
      </c>
      <c r="C5" s="67" t="s">
        <v>169</v>
      </c>
      <c r="D5" s="68" t="s">
        <v>100</v>
      </c>
      <c r="E5" s="68" t="s">
        <v>269</v>
      </c>
      <c r="F5" s="69"/>
      <c r="G5" s="327"/>
      <c r="H5" s="69"/>
      <c r="I5" s="69"/>
      <c r="J5" s="328"/>
      <c r="K5" s="69"/>
      <c r="L5" s="70"/>
      <c r="M5" s="71"/>
      <c r="N5" s="72"/>
      <c r="O5" s="72"/>
      <c r="P5" s="72"/>
      <c r="Q5" s="72"/>
      <c r="R5" s="330"/>
      <c r="S5" s="67"/>
    </row>
    <row r="6" spans="2:19" x14ac:dyDescent="0.25">
      <c r="B6" s="66">
        <v>3</v>
      </c>
      <c r="C6" s="67" t="s">
        <v>169</v>
      </c>
      <c r="D6" s="68" t="s">
        <v>100</v>
      </c>
      <c r="E6" s="68" t="s">
        <v>270</v>
      </c>
      <c r="F6" s="69"/>
      <c r="G6" s="327"/>
      <c r="H6" s="69"/>
      <c r="I6" s="69"/>
      <c r="J6" s="328"/>
      <c r="K6" s="69"/>
      <c r="L6" s="73"/>
      <c r="M6" s="71"/>
      <c r="N6" s="72"/>
      <c r="O6" s="72"/>
      <c r="P6" s="72"/>
      <c r="Q6" s="72"/>
      <c r="R6" s="330"/>
      <c r="S6" s="67"/>
    </row>
    <row r="7" spans="2:19" x14ac:dyDescent="0.25">
      <c r="B7" s="66">
        <v>4</v>
      </c>
      <c r="C7" s="67" t="s">
        <v>169</v>
      </c>
      <c r="D7" s="68" t="s">
        <v>101</v>
      </c>
      <c r="E7" s="68" t="s">
        <v>270</v>
      </c>
      <c r="F7" s="69"/>
      <c r="G7" s="327"/>
      <c r="H7" s="69"/>
      <c r="I7" s="69"/>
      <c r="J7" s="328"/>
      <c r="K7" s="69"/>
      <c r="L7" s="73"/>
      <c r="M7" s="71"/>
      <c r="N7" s="72"/>
      <c r="O7" s="72"/>
      <c r="P7" s="72"/>
      <c r="Q7" s="72"/>
      <c r="R7" s="330"/>
      <c r="S7" s="67"/>
    </row>
    <row r="8" spans="2:19" x14ac:dyDescent="0.25">
      <c r="B8" s="66">
        <v>5</v>
      </c>
      <c r="C8" s="67" t="s">
        <v>169</v>
      </c>
      <c r="D8" s="68" t="s">
        <v>101</v>
      </c>
      <c r="E8" s="68" t="s">
        <v>270</v>
      </c>
      <c r="F8" s="69"/>
      <c r="G8" s="327"/>
      <c r="H8" s="69"/>
      <c r="I8" s="69"/>
      <c r="J8" s="328"/>
      <c r="K8" s="69"/>
      <c r="L8" s="73"/>
      <c r="M8" s="71"/>
      <c r="N8" s="72"/>
      <c r="O8" s="72"/>
      <c r="P8" s="72"/>
      <c r="Q8" s="72"/>
      <c r="R8" s="330"/>
      <c r="S8" s="67"/>
    </row>
    <row r="9" spans="2:19" x14ac:dyDescent="0.25">
      <c r="B9" s="66">
        <v>6</v>
      </c>
      <c r="C9" s="67" t="s">
        <v>169</v>
      </c>
      <c r="D9" s="68" t="s">
        <v>101</v>
      </c>
      <c r="E9" s="68" t="s">
        <v>270</v>
      </c>
      <c r="F9" s="69"/>
      <c r="G9" s="327"/>
      <c r="H9" s="69"/>
      <c r="I9" s="69"/>
      <c r="J9" s="328"/>
      <c r="K9" s="69"/>
      <c r="L9" s="73"/>
      <c r="M9" s="71"/>
      <c r="N9" s="72"/>
      <c r="O9" s="72"/>
      <c r="P9" s="72"/>
      <c r="Q9" s="72"/>
      <c r="R9" s="330"/>
      <c r="S9" s="67"/>
    </row>
    <row r="10" spans="2:19" x14ac:dyDescent="0.25">
      <c r="B10" s="66">
        <v>7</v>
      </c>
      <c r="C10" s="67" t="s">
        <v>169</v>
      </c>
      <c r="D10" s="68" t="s">
        <v>101</v>
      </c>
      <c r="E10" s="68" t="s">
        <v>270</v>
      </c>
      <c r="F10" s="69"/>
      <c r="G10" s="327"/>
      <c r="H10" s="69"/>
      <c r="I10" s="69"/>
      <c r="J10" s="328"/>
      <c r="K10" s="69"/>
      <c r="L10" s="73"/>
      <c r="M10" s="71"/>
      <c r="N10" s="72"/>
      <c r="O10" s="72"/>
      <c r="P10" s="72"/>
      <c r="Q10" s="72"/>
      <c r="R10" s="330"/>
      <c r="S10" s="67"/>
    </row>
    <row r="11" spans="2:19" x14ac:dyDescent="0.25">
      <c r="B11" s="66">
        <v>8</v>
      </c>
      <c r="C11" s="67" t="s">
        <v>169</v>
      </c>
      <c r="D11" s="68" t="s">
        <v>102</v>
      </c>
      <c r="E11" s="68" t="s">
        <v>268</v>
      </c>
      <c r="F11" s="69"/>
      <c r="G11" s="327" t="s">
        <v>247</v>
      </c>
      <c r="H11" s="69"/>
      <c r="I11" s="69"/>
      <c r="J11" s="327" t="s">
        <v>249</v>
      </c>
      <c r="K11" s="218"/>
      <c r="L11" s="73"/>
      <c r="M11" s="71"/>
      <c r="N11" s="72"/>
      <c r="O11" s="72"/>
      <c r="P11" s="72"/>
      <c r="Q11" s="72"/>
      <c r="R11" s="329" t="s">
        <v>271</v>
      </c>
      <c r="S11" s="67"/>
    </row>
    <row r="12" spans="2:19" x14ac:dyDescent="0.25">
      <c r="B12" s="66">
        <v>9</v>
      </c>
      <c r="C12" s="67" t="s">
        <v>169</v>
      </c>
      <c r="D12" s="68" t="s">
        <v>102</v>
      </c>
      <c r="E12" s="68" t="s">
        <v>268</v>
      </c>
      <c r="F12" s="69"/>
      <c r="G12" s="328"/>
      <c r="H12" s="69"/>
      <c r="I12" s="69"/>
      <c r="J12" s="328"/>
      <c r="K12" s="69"/>
      <c r="L12" s="73"/>
      <c r="M12" s="71"/>
      <c r="N12" s="72"/>
      <c r="O12" s="72"/>
      <c r="P12" s="72"/>
      <c r="Q12" s="72"/>
      <c r="R12" s="330"/>
      <c r="S12" s="67"/>
    </row>
    <row r="13" spans="2:19" x14ac:dyDescent="0.25">
      <c r="B13" s="66">
        <v>10</v>
      </c>
      <c r="C13" s="67" t="s">
        <v>169</v>
      </c>
      <c r="D13" s="68" t="s">
        <v>102</v>
      </c>
      <c r="E13" s="68" t="s">
        <v>268</v>
      </c>
      <c r="F13" s="69"/>
      <c r="G13" s="328"/>
      <c r="H13" s="69"/>
      <c r="I13" s="69"/>
      <c r="J13" s="328"/>
      <c r="K13" s="69"/>
      <c r="L13" s="73"/>
      <c r="M13" s="71"/>
      <c r="N13" s="72"/>
      <c r="O13" s="72"/>
      <c r="P13" s="72"/>
      <c r="Q13" s="72"/>
      <c r="R13" s="330"/>
      <c r="S13" s="67"/>
    </row>
    <row r="14" spans="2:19" x14ac:dyDescent="0.25">
      <c r="B14" s="66">
        <v>11</v>
      </c>
      <c r="C14" s="67" t="s">
        <v>169</v>
      </c>
      <c r="D14" s="68" t="s">
        <v>102</v>
      </c>
      <c r="E14" s="68" t="s">
        <v>268</v>
      </c>
      <c r="F14" s="69"/>
      <c r="G14" s="328"/>
      <c r="H14" s="69"/>
      <c r="I14" s="69"/>
      <c r="J14" s="328"/>
      <c r="K14" s="69"/>
      <c r="L14" s="73"/>
      <c r="M14" s="71"/>
      <c r="N14" s="72"/>
      <c r="O14" s="72"/>
      <c r="P14" s="72"/>
      <c r="Q14" s="72"/>
      <c r="R14" s="330"/>
      <c r="S14" s="67"/>
    </row>
    <row r="15" spans="2:19" x14ac:dyDescent="0.25">
      <c r="B15" s="66">
        <v>12</v>
      </c>
      <c r="C15" s="67" t="s">
        <v>169</v>
      </c>
      <c r="D15" s="68" t="s">
        <v>102</v>
      </c>
      <c r="E15" s="68" t="s">
        <v>268</v>
      </c>
      <c r="F15" s="69"/>
      <c r="G15" s="328"/>
      <c r="H15" s="69"/>
      <c r="I15" s="69"/>
      <c r="J15" s="328"/>
      <c r="K15" s="69"/>
      <c r="L15" s="73"/>
      <c r="M15" s="71"/>
      <c r="N15" s="72"/>
      <c r="O15" s="72"/>
      <c r="P15" s="72"/>
      <c r="Q15" s="72"/>
      <c r="R15" s="330"/>
      <c r="S15" s="67"/>
    </row>
    <row r="16" spans="2:19" x14ac:dyDescent="0.25">
      <c r="B16" s="66">
        <v>13</v>
      </c>
      <c r="C16" s="67" t="s">
        <v>169</v>
      </c>
      <c r="D16" s="68" t="s">
        <v>103</v>
      </c>
      <c r="E16" s="68" t="s">
        <v>267</v>
      </c>
      <c r="F16" s="69"/>
      <c r="G16" s="327" t="s">
        <v>247</v>
      </c>
      <c r="H16" s="69"/>
      <c r="I16" s="69"/>
      <c r="J16" s="327" t="s">
        <v>250</v>
      </c>
      <c r="K16" s="218"/>
      <c r="L16" s="70"/>
      <c r="M16" s="71"/>
      <c r="N16" s="72"/>
      <c r="O16" s="72"/>
      <c r="P16" s="72"/>
      <c r="Q16" s="72"/>
      <c r="R16" s="329" t="s">
        <v>272</v>
      </c>
      <c r="S16" s="67"/>
    </row>
    <row r="17" spans="2:19" x14ac:dyDescent="0.25">
      <c r="B17" s="66">
        <v>14</v>
      </c>
      <c r="C17" s="67" t="s">
        <v>169</v>
      </c>
      <c r="D17" s="68" t="s">
        <v>103</v>
      </c>
      <c r="E17" s="68" t="s">
        <v>267</v>
      </c>
      <c r="F17" s="69"/>
      <c r="G17" s="328"/>
      <c r="H17" s="69"/>
      <c r="I17" s="69"/>
      <c r="J17" s="328"/>
      <c r="K17" s="69"/>
      <c r="L17" s="70"/>
      <c r="M17" s="71"/>
      <c r="N17" s="72"/>
      <c r="O17" s="72"/>
      <c r="P17" s="72"/>
      <c r="Q17" s="72"/>
      <c r="R17" s="330"/>
      <c r="S17" s="67"/>
    </row>
    <row r="18" spans="2:19" x14ac:dyDescent="0.25">
      <c r="B18" s="66">
        <v>15</v>
      </c>
      <c r="C18" s="67" t="s">
        <v>169</v>
      </c>
      <c r="D18" s="68" t="s">
        <v>103</v>
      </c>
      <c r="E18" s="68" t="s">
        <v>265</v>
      </c>
      <c r="F18" s="69"/>
      <c r="G18" s="328"/>
      <c r="H18" s="69"/>
      <c r="I18" s="69"/>
      <c r="J18" s="328"/>
      <c r="K18" s="69"/>
      <c r="L18" s="73"/>
      <c r="M18" s="71"/>
      <c r="N18" s="72"/>
      <c r="O18" s="72"/>
      <c r="P18" s="72"/>
      <c r="Q18" s="72"/>
      <c r="R18" s="330"/>
      <c r="S18" s="67"/>
    </row>
    <row r="19" spans="2:19" x14ac:dyDescent="0.25">
      <c r="B19" s="66">
        <v>16</v>
      </c>
      <c r="C19" s="67" t="s">
        <v>169</v>
      </c>
      <c r="D19" s="68" t="s">
        <v>103</v>
      </c>
      <c r="E19" s="68" t="s">
        <v>266</v>
      </c>
      <c r="F19" s="69"/>
      <c r="G19" s="328"/>
      <c r="H19" s="69"/>
      <c r="I19" s="69"/>
      <c r="J19" s="328"/>
      <c r="K19" s="69"/>
      <c r="L19" s="73"/>
      <c r="M19" s="71"/>
      <c r="N19" s="72"/>
      <c r="O19" s="72"/>
      <c r="P19" s="72"/>
      <c r="Q19" s="72"/>
      <c r="R19" s="330"/>
      <c r="S19" s="67"/>
    </row>
    <row r="20" spans="2:19" x14ac:dyDescent="0.25">
      <c r="B20" s="66">
        <v>17</v>
      </c>
      <c r="C20" s="67" t="s">
        <v>169</v>
      </c>
      <c r="D20" s="68" t="s">
        <v>103</v>
      </c>
      <c r="E20" s="68" t="s">
        <v>266</v>
      </c>
      <c r="F20" s="69"/>
      <c r="G20" s="328"/>
      <c r="H20" s="69"/>
      <c r="I20" s="69"/>
      <c r="J20" s="328"/>
      <c r="K20" s="69"/>
      <c r="L20" s="73"/>
      <c r="M20" s="71"/>
      <c r="N20" s="72"/>
      <c r="O20" s="72"/>
      <c r="P20" s="72"/>
      <c r="Q20" s="72"/>
      <c r="R20" s="330"/>
      <c r="S20" s="67"/>
    </row>
    <row r="21" spans="2:19" x14ac:dyDescent="0.25">
      <c r="B21" s="66">
        <v>18</v>
      </c>
      <c r="C21" s="67" t="s">
        <v>169</v>
      </c>
      <c r="D21" s="68" t="s">
        <v>103</v>
      </c>
      <c r="E21" s="68" t="s">
        <v>266</v>
      </c>
      <c r="F21" s="69"/>
      <c r="G21" s="328"/>
      <c r="H21" s="69"/>
      <c r="I21" s="69"/>
      <c r="J21" s="328"/>
      <c r="K21" s="69"/>
      <c r="L21" s="73"/>
      <c r="M21" s="71"/>
      <c r="N21" s="72"/>
      <c r="O21" s="72"/>
      <c r="P21" s="72"/>
      <c r="Q21" s="72"/>
      <c r="R21" s="330"/>
      <c r="S21" s="67"/>
    </row>
    <row r="22" spans="2:19" x14ac:dyDescent="0.25">
      <c r="B22" s="66">
        <v>19</v>
      </c>
      <c r="C22" s="67" t="s">
        <v>169</v>
      </c>
      <c r="D22" s="68" t="s">
        <v>103</v>
      </c>
      <c r="E22" s="68" t="s">
        <v>266</v>
      </c>
      <c r="F22" s="69"/>
      <c r="G22" s="328"/>
      <c r="H22" s="69"/>
      <c r="I22" s="69"/>
      <c r="J22" s="328"/>
      <c r="K22" s="69"/>
      <c r="L22" s="70"/>
      <c r="M22" s="71"/>
      <c r="N22" s="72"/>
      <c r="O22" s="72"/>
      <c r="P22" s="72"/>
      <c r="Q22" s="72"/>
      <c r="R22" s="330"/>
      <c r="S22" s="67"/>
    </row>
    <row r="23" spans="2:19" x14ac:dyDescent="0.25">
      <c r="B23" s="66">
        <v>20</v>
      </c>
      <c r="C23" s="67" t="s">
        <v>169</v>
      </c>
      <c r="D23" s="68" t="s">
        <v>103</v>
      </c>
      <c r="E23" s="68" t="s">
        <v>266</v>
      </c>
      <c r="F23" s="69"/>
      <c r="G23" s="328"/>
      <c r="H23" s="69"/>
      <c r="I23" s="69"/>
      <c r="J23" s="328"/>
      <c r="K23" s="69"/>
      <c r="L23" s="73"/>
      <c r="M23" s="71"/>
      <c r="N23" s="72"/>
      <c r="O23" s="72"/>
      <c r="P23" s="72"/>
      <c r="Q23" s="72"/>
      <c r="R23" s="330"/>
      <c r="S23" s="67"/>
    </row>
  </sheetData>
  <mergeCells count="10">
    <mergeCell ref="N2:Q2"/>
    <mergeCell ref="G16:G23"/>
    <mergeCell ref="J16:J23"/>
    <mergeCell ref="R16:R23"/>
    <mergeCell ref="G4:G10"/>
    <mergeCell ref="J4:J10"/>
    <mergeCell ref="R4:R10"/>
    <mergeCell ref="G11:G15"/>
    <mergeCell ref="J11:J15"/>
    <mergeCell ref="R11:R15"/>
  </mergeCells>
  <phoneticPr fontId="7" type="noConversion"/>
  <pageMargins left="0.7" right="0.7" top="0.75" bottom="0.75" header="0.3" footer="0.3"/>
  <pageSetup paperSize="9" orientation="portrait" horizontalDpi="1200" verticalDpi="12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72"/>
  <sheetViews>
    <sheetView topLeftCell="A7" zoomScale="85" zoomScaleNormal="85" workbookViewId="0">
      <selection activeCell="G13" sqref="G13"/>
    </sheetView>
  </sheetViews>
  <sheetFormatPr defaultColWidth="9" defaultRowHeight="14.4" x14ac:dyDescent="0.25"/>
  <cols>
    <col min="1" max="1" width="38" customWidth="1"/>
    <col min="2" max="2" width="17.5546875" customWidth="1"/>
    <col min="3" max="4" width="15.88671875" customWidth="1"/>
    <col min="5" max="5" width="19.33203125" customWidth="1"/>
    <col min="6" max="6" width="15.88671875" customWidth="1"/>
    <col min="7" max="7" width="19.21875" customWidth="1"/>
    <col min="8" max="8" width="16.21875" customWidth="1"/>
    <col min="9" max="9" width="15.88671875" customWidth="1"/>
    <col min="10" max="10" width="11" customWidth="1"/>
    <col min="11" max="18" width="14.109375" customWidth="1"/>
    <col min="19" max="19" width="10" bestFit="1" customWidth="1"/>
  </cols>
  <sheetData>
    <row r="1" spans="1:19" ht="15.6" x14ac:dyDescent="0.25">
      <c r="A1" s="1" t="s">
        <v>178</v>
      </c>
      <c r="B1" s="2"/>
      <c r="C1" s="2"/>
      <c r="D1" s="3"/>
      <c r="E1" s="4"/>
      <c r="F1" s="4"/>
      <c r="G1" s="4"/>
      <c r="H1" s="4"/>
      <c r="I1" s="4"/>
      <c r="J1" s="4"/>
      <c r="K1" s="4"/>
      <c r="L1" s="3"/>
      <c r="M1" s="3"/>
      <c r="N1" s="4"/>
      <c r="O1" s="4"/>
      <c r="P1" s="4"/>
      <c r="Q1" s="4"/>
      <c r="R1" s="4"/>
      <c r="S1" s="4"/>
    </row>
    <row r="2" spans="1:19" ht="15.6" x14ac:dyDescent="0.25">
      <c r="A2" s="1"/>
      <c r="B2" s="2"/>
      <c r="C2" s="2"/>
      <c r="D2" s="3"/>
      <c r="E2" s="4"/>
      <c r="F2" s="4"/>
      <c r="G2" s="4"/>
      <c r="H2" s="4"/>
      <c r="I2" s="4"/>
      <c r="J2" s="4"/>
      <c r="K2" s="4"/>
      <c r="L2" s="3"/>
      <c r="M2" s="3"/>
      <c r="N2" s="4"/>
      <c r="O2" s="4"/>
      <c r="P2" s="4"/>
      <c r="Q2" s="4"/>
      <c r="R2" s="4"/>
      <c r="S2" s="4"/>
    </row>
    <row r="3" spans="1:19" ht="15.6" x14ac:dyDescent="0.25">
      <c r="A3" s="19" t="s">
        <v>17</v>
      </c>
      <c r="B3" s="20"/>
      <c r="C3" s="20"/>
      <c r="D3" s="3"/>
      <c r="E3" s="4"/>
      <c r="F3" s="4"/>
      <c r="G3" s="4"/>
      <c r="H3" s="4"/>
      <c r="I3" s="4"/>
      <c r="J3" s="4"/>
      <c r="K3" s="4"/>
      <c r="L3" s="3"/>
      <c r="M3" s="3"/>
      <c r="N3" s="4"/>
      <c r="O3" s="4"/>
      <c r="P3" s="4"/>
      <c r="Q3" s="4"/>
      <c r="R3" s="4"/>
      <c r="S3" s="4"/>
    </row>
    <row r="4" spans="1:19" ht="15.6" x14ac:dyDescent="0.25">
      <c r="A4" s="20" t="s">
        <v>18</v>
      </c>
      <c r="B4" s="20" t="s">
        <v>19</v>
      </c>
      <c r="C4" s="20" t="s">
        <v>20</v>
      </c>
      <c r="D4" s="24" t="s">
        <v>21</v>
      </c>
      <c r="E4" s="9"/>
      <c r="F4" s="4"/>
      <c r="G4" s="4"/>
      <c r="H4" s="4"/>
      <c r="I4" s="4"/>
      <c r="J4" s="4"/>
      <c r="K4" s="3"/>
      <c r="L4" s="3"/>
      <c r="M4" s="4"/>
      <c r="N4" s="4"/>
      <c r="O4" s="4"/>
      <c r="P4" s="4"/>
      <c r="Q4" s="4"/>
      <c r="R4" s="4"/>
      <c r="S4" s="4"/>
    </row>
    <row r="5" spans="1:19" ht="15.6" x14ac:dyDescent="0.25">
      <c r="A5" s="20" t="s">
        <v>175</v>
      </c>
      <c r="B5" s="13">
        <v>273.4246</v>
      </c>
      <c r="C5" s="11">
        <f>B5/$B$9</f>
        <v>0.51898066486944172</v>
      </c>
      <c r="D5" s="9"/>
      <c r="E5" s="25"/>
      <c r="F5" s="25"/>
      <c r="G5" s="25"/>
      <c r="H5" s="4"/>
      <c r="I5" s="4"/>
      <c r="J5" s="4"/>
      <c r="K5" s="3"/>
      <c r="L5" s="3"/>
      <c r="M5" s="4"/>
      <c r="N5" s="4"/>
      <c r="O5" s="4"/>
      <c r="P5" s="4"/>
      <c r="Q5" s="4"/>
      <c r="R5" s="4"/>
      <c r="S5" s="4"/>
    </row>
    <row r="6" spans="1:19" ht="15.6" x14ac:dyDescent="0.25">
      <c r="A6" s="20" t="s">
        <v>177</v>
      </c>
      <c r="B6" s="13">
        <v>27.397300000000001</v>
      </c>
      <c r="C6" s="11">
        <f t="shared" ref="C6:C8" si="0">B6/$B$9</f>
        <v>5.2002156973540624E-2</v>
      </c>
      <c r="D6" s="9"/>
      <c r="E6" s="25"/>
      <c r="F6" s="25"/>
      <c r="G6" s="25"/>
      <c r="H6" s="4"/>
      <c r="I6" s="4"/>
      <c r="J6" s="4"/>
      <c r="K6" s="3"/>
      <c r="L6" s="3"/>
      <c r="M6" s="4"/>
      <c r="N6" s="4"/>
      <c r="O6" s="4"/>
      <c r="P6" s="4"/>
      <c r="Q6" s="4"/>
      <c r="R6" s="4"/>
      <c r="S6" s="2"/>
    </row>
    <row r="7" spans="1:19" ht="15.6" x14ac:dyDescent="0.25">
      <c r="A7" s="20" t="s">
        <v>179</v>
      </c>
      <c r="B7" s="13">
        <f>226.0274-B8</f>
        <v>66.0274</v>
      </c>
      <c r="C7" s="11">
        <f t="shared" si="0"/>
        <v>0.12532502178516702</v>
      </c>
      <c r="D7" s="9"/>
      <c r="E7" s="25"/>
      <c r="F7" s="25"/>
      <c r="G7" s="25"/>
      <c r="H7" s="4"/>
      <c r="I7" s="4"/>
      <c r="J7" s="4"/>
      <c r="K7" s="3"/>
      <c r="L7" s="3"/>
      <c r="M7" s="4"/>
      <c r="N7" s="4"/>
      <c r="O7" s="4"/>
      <c r="P7" s="4"/>
      <c r="Q7" s="4"/>
      <c r="R7" s="4"/>
      <c r="S7" s="2"/>
    </row>
    <row r="8" spans="1:19" ht="15.6" x14ac:dyDescent="0.25">
      <c r="A8" s="26" t="s">
        <v>180</v>
      </c>
      <c r="B8" s="27">
        <v>160</v>
      </c>
      <c r="C8" s="11">
        <f t="shared" si="0"/>
        <v>0.30369215637185049</v>
      </c>
      <c r="D8" s="24" t="s">
        <v>22</v>
      </c>
      <c r="E8" s="25"/>
      <c r="F8" s="25"/>
      <c r="G8" s="25"/>
      <c r="H8" s="28"/>
      <c r="I8" s="4" t="s">
        <v>23</v>
      </c>
      <c r="J8" s="4"/>
      <c r="K8" s="3"/>
      <c r="L8" s="3"/>
      <c r="M8" s="4"/>
      <c r="N8" s="4"/>
      <c r="O8" s="4"/>
      <c r="P8" s="4"/>
      <c r="Q8" s="4"/>
      <c r="R8" s="4"/>
      <c r="S8" s="2"/>
    </row>
    <row r="9" spans="1:19" ht="15.6" x14ac:dyDescent="0.25">
      <c r="A9" s="20" t="s">
        <v>24</v>
      </c>
      <c r="B9" s="16">
        <f>SUM(B5:B8)</f>
        <v>526.84930000000008</v>
      </c>
      <c r="C9" s="12">
        <f>SUM(C5:C8)</f>
        <v>0.99999999999999978</v>
      </c>
      <c r="D9" s="4"/>
      <c r="E9" s="25"/>
      <c r="F9" s="25"/>
      <c r="G9" s="25"/>
      <c r="H9" s="2"/>
      <c r="I9" s="4"/>
      <c r="J9" s="4"/>
      <c r="K9" s="3"/>
      <c r="L9" s="3"/>
      <c r="M9" s="4"/>
      <c r="N9" s="4"/>
      <c r="O9" s="4"/>
      <c r="P9" s="4"/>
      <c r="Q9" s="4"/>
      <c r="R9" s="4"/>
      <c r="S9" s="4"/>
    </row>
    <row r="10" spans="1:19" ht="15.6" x14ac:dyDescent="0.25">
      <c r="A10" s="5" t="s">
        <v>25</v>
      </c>
      <c r="B10" s="6">
        <f>3300/42.9017%</f>
        <v>7692.0028810047161</v>
      </c>
      <c r="C10" s="2"/>
      <c r="D10" s="3"/>
      <c r="E10" s="25"/>
      <c r="F10" s="25"/>
      <c r="G10" s="25"/>
      <c r="H10" s="3"/>
      <c r="I10" s="3"/>
      <c r="J10" s="4"/>
      <c r="K10" s="4"/>
      <c r="L10" s="3"/>
      <c r="M10" s="2"/>
      <c r="N10" s="2"/>
      <c r="O10" s="4"/>
      <c r="P10" s="4"/>
      <c r="Q10" s="4"/>
      <c r="R10" s="4"/>
      <c r="S10" s="4"/>
    </row>
    <row r="11" spans="1:19" ht="15.6" x14ac:dyDescent="0.25">
      <c r="A11" s="5" t="s">
        <v>26</v>
      </c>
      <c r="B11" s="6">
        <f>B10/B9</f>
        <v>14.600005885942554</v>
      </c>
      <c r="C11" s="2"/>
      <c r="D11" s="3"/>
      <c r="E11" s="25"/>
      <c r="F11" s="25"/>
      <c r="G11" s="25"/>
      <c r="H11" s="3"/>
      <c r="I11" s="3"/>
      <c r="J11" s="4"/>
      <c r="K11" s="4"/>
      <c r="L11" s="3"/>
      <c r="M11" s="2"/>
      <c r="N11" s="2"/>
      <c r="O11" s="4"/>
      <c r="P11" s="4"/>
      <c r="Q11" s="4"/>
      <c r="R11" s="4"/>
      <c r="S11" s="4"/>
    </row>
    <row r="13" spans="1:19" ht="15.6" x14ac:dyDescent="0.25">
      <c r="A13" s="19" t="s">
        <v>27</v>
      </c>
      <c r="B13" s="19"/>
      <c r="C13" s="19"/>
      <c r="D13" s="3"/>
      <c r="E13" s="4"/>
      <c r="F13" s="4"/>
      <c r="G13" s="4"/>
      <c r="H13" s="4"/>
      <c r="I13" s="4"/>
      <c r="J13" s="4"/>
      <c r="K13" s="4"/>
      <c r="L13" s="3"/>
      <c r="M13" s="3"/>
      <c r="N13" s="4"/>
      <c r="O13" s="4"/>
      <c r="P13" s="4"/>
      <c r="Q13" s="4"/>
      <c r="R13" s="4"/>
      <c r="S13" s="4"/>
    </row>
    <row r="14" spans="1:19" ht="15.6" x14ac:dyDescent="0.25">
      <c r="A14" s="20" t="s">
        <v>28</v>
      </c>
      <c r="B14" s="20" t="s">
        <v>12</v>
      </c>
      <c r="C14" s="20" t="s">
        <v>29</v>
      </c>
      <c r="D14" s="3"/>
      <c r="E14" s="4"/>
      <c r="F14" s="4"/>
      <c r="G14" s="4"/>
      <c r="H14" s="4"/>
      <c r="I14" s="4"/>
      <c r="J14" s="4"/>
      <c r="K14" s="4"/>
      <c r="L14" s="3"/>
      <c r="M14" s="3"/>
      <c r="N14" s="4"/>
      <c r="O14" s="4"/>
      <c r="P14" s="4"/>
      <c r="Q14" s="4"/>
      <c r="R14" s="4"/>
      <c r="S14" s="4"/>
    </row>
    <row r="15" spans="1:19" ht="15.6" x14ac:dyDescent="0.25">
      <c r="A15" s="26" t="s">
        <v>180</v>
      </c>
      <c r="B15" s="10">
        <f>B8</f>
        <v>160</v>
      </c>
      <c r="C15" s="11">
        <f>C8</f>
        <v>0.30369215637185049</v>
      </c>
      <c r="D15" s="3"/>
      <c r="E15" s="4"/>
      <c r="F15" s="4"/>
      <c r="G15" s="4"/>
      <c r="H15" s="4"/>
      <c r="I15" s="4"/>
      <c r="J15" s="4"/>
      <c r="K15" s="4"/>
      <c r="L15" s="3"/>
      <c r="M15" s="3"/>
      <c r="N15" s="4"/>
      <c r="O15" s="4"/>
      <c r="P15" s="4"/>
      <c r="Q15" s="4"/>
      <c r="R15" s="4"/>
      <c r="S15" s="4"/>
    </row>
    <row r="16" spans="1:19" ht="15.6" x14ac:dyDescent="0.25">
      <c r="A16" s="20" t="s">
        <v>24</v>
      </c>
      <c r="B16" s="23">
        <f>SUM(B15:B15)</f>
        <v>160</v>
      </c>
      <c r="C16" s="12">
        <f>SUM(C15:C15)</f>
        <v>0.30369215637185049</v>
      </c>
      <c r="D16" s="3"/>
      <c r="E16" s="4"/>
      <c r="F16" s="4"/>
      <c r="G16" s="4"/>
      <c r="H16" s="4"/>
      <c r="I16" s="4"/>
      <c r="J16" s="4"/>
      <c r="K16" s="4"/>
      <c r="L16" s="3"/>
      <c r="M16" s="3"/>
      <c r="N16" s="4"/>
      <c r="O16" s="4"/>
      <c r="P16" s="4"/>
      <c r="Q16" s="4"/>
      <c r="R16" s="4"/>
      <c r="S16" s="4"/>
    </row>
    <row r="18" spans="1:13" ht="15.6" x14ac:dyDescent="0.25">
      <c r="A18" s="19" t="s">
        <v>30</v>
      </c>
      <c r="B18" s="20"/>
      <c r="C18" s="20"/>
      <c r="D18" s="20"/>
      <c r="E18" s="20"/>
      <c r="F18" s="20"/>
      <c r="G18" s="20"/>
      <c r="H18" s="20"/>
      <c r="I18" s="20"/>
      <c r="J18" s="4"/>
      <c r="K18" s="4"/>
      <c r="L18" s="3"/>
      <c r="M18" s="3"/>
    </row>
    <row r="19" spans="1:13" ht="15.6" x14ac:dyDescent="0.25">
      <c r="A19" s="389"/>
      <c r="B19" s="391" t="s">
        <v>13</v>
      </c>
      <c r="C19" s="392"/>
      <c r="D19" s="393"/>
      <c r="E19" s="394" t="s">
        <v>31</v>
      </c>
      <c r="F19" s="394" t="s">
        <v>32</v>
      </c>
      <c r="G19" s="396" t="s">
        <v>33</v>
      </c>
      <c r="H19" s="397"/>
      <c r="I19" s="398"/>
      <c r="J19" s="4"/>
      <c r="K19" s="4"/>
      <c r="L19" s="3"/>
      <c r="M19" s="3"/>
    </row>
    <row r="20" spans="1:13" ht="15.6" x14ac:dyDescent="0.25">
      <c r="A20" s="390"/>
      <c r="B20" s="5" t="s">
        <v>34</v>
      </c>
      <c r="C20" s="5" t="s">
        <v>35</v>
      </c>
      <c r="D20" s="5" t="s">
        <v>36</v>
      </c>
      <c r="E20" s="395"/>
      <c r="F20" s="395"/>
      <c r="G20" s="8" t="s">
        <v>37</v>
      </c>
      <c r="H20" s="8" t="s">
        <v>38</v>
      </c>
      <c r="I20" s="8" t="s">
        <v>39</v>
      </c>
      <c r="J20" s="4"/>
      <c r="K20" s="4"/>
      <c r="L20" s="3"/>
      <c r="M20" s="3"/>
    </row>
    <row r="21" spans="1:13" ht="15.6" x14ac:dyDescent="0.25">
      <c r="A21" s="20" t="s">
        <v>24</v>
      </c>
      <c r="B21" s="13">
        <f>B16</f>
        <v>160</v>
      </c>
      <c r="C21" s="13">
        <f>(B9*E21-B21)/(1-E21)</f>
        <v>84.566200000000066</v>
      </c>
      <c r="D21" s="13">
        <f>B21+C21</f>
        <v>244.56620000000007</v>
      </c>
      <c r="E21" s="29">
        <v>0.4</v>
      </c>
      <c r="F21" s="14">
        <f>D21/(B9+C21)</f>
        <v>0.39999999999999997</v>
      </c>
      <c r="G21" s="22">
        <f>B21*H27</f>
        <v>3644.305876462206</v>
      </c>
      <c r="H21" s="21">
        <f>C21*H28</f>
        <v>6004.2002000000048</v>
      </c>
      <c r="I21" s="30">
        <f>G21+H21</f>
        <v>9648.5060764622103</v>
      </c>
      <c r="J21" s="4"/>
      <c r="K21" s="4"/>
      <c r="L21" s="3"/>
      <c r="M21" s="3"/>
    </row>
    <row r="22" spans="1:13" ht="15.6" x14ac:dyDescent="0.25">
      <c r="A22" s="20" t="s">
        <v>185</v>
      </c>
      <c r="B22" s="13">
        <f>B21*E22/E21</f>
        <v>120</v>
      </c>
      <c r="C22" s="13">
        <f>C21*E22/E21</f>
        <v>63.424650000000049</v>
      </c>
      <c r="D22" s="13">
        <f>B22+C22</f>
        <v>183.42465000000004</v>
      </c>
      <c r="E22" s="29">
        <v>0.3</v>
      </c>
      <c r="F22" s="14">
        <f>D22/(B9+C21)</f>
        <v>0.3</v>
      </c>
      <c r="G22" s="22">
        <f>G21*E22/E21</f>
        <v>2733.2294073466542</v>
      </c>
      <c r="H22" s="21">
        <f>H21*E22/E21</f>
        <v>4503.1501500000031</v>
      </c>
      <c r="I22" s="30">
        <f>G22+H22</f>
        <v>7236.3795573466577</v>
      </c>
      <c r="J22" s="4"/>
      <c r="K22" s="4"/>
      <c r="L22" s="3"/>
      <c r="M22" s="3"/>
    </row>
    <row r="23" spans="1:13" ht="15.6" x14ac:dyDescent="0.25">
      <c r="A23" s="20" t="s">
        <v>186</v>
      </c>
      <c r="B23" s="13">
        <f>B21*E23/E21</f>
        <v>40</v>
      </c>
      <c r="C23" s="13">
        <f>C21*E23/E21</f>
        <v>21.141550000000013</v>
      </c>
      <c r="D23" s="13">
        <f>B23+C23</f>
        <v>61.141550000000009</v>
      </c>
      <c r="E23" s="29">
        <v>0.1</v>
      </c>
      <c r="F23" s="14">
        <f>D23/(B9+C21)</f>
        <v>9.9999999999999992E-2</v>
      </c>
      <c r="G23" s="22">
        <f>G21*E23/E21</f>
        <v>911.0764691155515</v>
      </c>
      <c r="H23" s="21">
        <f>H21*E23/E21</f>
        <v>1501.0500500000012</v>
      </c>
      <c r="I23" s="30">
        <f>G23+H23</f>
        <v>2412.1265191155526</v>
      </c>
      <c r="J23" s="4"/>
      <c r="K23" s="4"/>
      <c r="L23" s="3"/>
      <c r="M23" s="3"/>
    </row>
    <row r="24" spans="1:13" ht="15.6" x14ac:dyDescent="0.25">
      <c r="A24" s="4"/>
      <c r="B24" s="4"/>
      <c r="C24" s="4"/>
      <c r="D24" s="4"/>
      <c r="E24" s="4"/>
      <c r="F24" s="4"/>
      <c r="G24" s="4"/>
      <c r="H24" s="4"/>
      <c r="I24" s="4"/>
      <c r="J24" s="4"/>
      <c r="K24" s="4"/>
      <c r="L24" s="3"/>
      <c r="M24" s="3"/>
    </row>
    <row r="25" spans="1:13" ht="16.2" thickBot="1" x14ac:dyDescent="0.3">
      <c r="A25" s="4"/>
      <c r="B25" s="2"/>
      <c r="C25" s="2"/>
      <c r="D25" s="3"/>
      <c r="E25" s="4"/>
      <c r="F25" s="4"/>
      <c r="G25" s="4"/>
      <c r="H25" s="4"/>
      <c r="I25" s="4"/>
      <c r="J25" s="4"/>
      <c r="K25" s="4"/>
      <c r="L25" s="3"/>
      <c r="M25" s="3"/>
    </row>
    <row r="26" spans="1:13" ht="15.6" x14ac:dyDescent="0.25">
      <c r="A26" s="19" t="s">
        <v>40</v>
      </c>
      <c r="B26" s="20"/>
      <c r="C26" s="20"/>
      <c r="D26" s="3"/>
      <c r="E26" s="4"/>
      <c r="F26" s="4"/>
      <c r="G26" s="31" t="s">
        <v>41</v>
      </c>
      <c r="H26" s="32">
        <v>12000</v>
      </c>
      <c r="I26" s="4" t="s">
        <v>42</v>
      </c>
      <c r="J26" s="4"/>
      <c r="K26" s="4"/>
      <c r="L26" s="3"/>
      <c r="M26" s="3"/>
    </row>
    <row r="27" spans="1:13" ht="15.6" x14ac:dyDescent="0.25">
      <c r="A27" s="20" t="s">
        <v>18</v>
      </c>
      <c r="B27" s="20" t="s">
        <v>12</v>
      </c>
      <c r="C27" s="20" t="s">
        <v>29</v>
      </c>
      <c r="D27" s="4"/>
      <c r="E27" s="4"/>
      <c r="F27" s="4"/>
      <c r="G27" s="33" t="s">
        <v>43</v>
      </c>
      <c r="H27" s="34">
        <f>H26/B9</f>
        <v>22.776911727888788</v>
      </c>
      <c r="I27" s="4" t="s">
        <v>181</v>
      </c>
      <c r="J27" s="4"/>
      <c r="K27" s="3"/>
      <c r="L27" s="3"/>
      <c r="M27" s="4"/>
    </row>
    <row r="28" spans="1:13" ht="15.6" x14ac:dyDescent="0.25">
      <c r="A28" s="20" t="str">
        <f>A5</f>
        <v>AAA</v>
      </c>
      <c r="B28" s="10">
        <f>B5</f>
        <v>273.4246</v>
      </c>
      <c r="C28" s="11">
        <f>B28/$B$33</f>
        <v>0.44719932680803803</v>
      </c>
      <c r="D28" s="4"/>
      <c r="E28" s="4"/>
      <c r="F28" s="4"/>
      <c r="G28" s="33" t="s">
        <v>44</v>
      </c>
      <c r="H28" s="35">
        <v>71</v>
      </c>
      <c r="I28" s="4" t="s">
        <v>176</v>
      </c>
      <c r="J28" s="4"/>
      <c r="K28" s="3"/>
      <c r="L28" s="3"/>
      <c r="M28" s="4"/>
    </row>
    <row r="29" spans="1:13" ht="16.2" thickBot="1" x14ac:dyDescent="0.3">
      <c r="A29" s="20" t="str">
        <f t="shared" ref="A29:A30" si="1">A6</f>
        <v>BBB</v>
      </c>
      <c r="B29" s="10">
        <f>B6</f>
        <v>27.397300000000001</v>
      </c>
      <c r="C29" s="11">
        <f>B29/$B$33</f>
        <v>4.4809626187101895E-2</v>
      </c>
      <c r="D29" s="4"/>
      <c r="E29" s="4"/>
      <c r="F29" s="4"/>
      <c r="G29" s="36" t="s">
        <v>45</v>
      </c>
      <c r="H29" s="37">
        <f>H26+H21</f>
        <v>18004.200200000007</v>
      </c>
      <c r="I29" s="4"/>
      <c r="J29" s="4"/>
      <c r="K29" s="3"/>
      <c r="L29" s="3"/>
      <c r="M29" s="4"/>
    </row>
    <row r="30" spans="1:13" ht="15.6" x14ac:dyDescent="0.25">
      <c r="A30" s="20" t="str">
        <f t="shared" si="1"/>
        <v>CCC创业投资中心（有限合伙）</v>
      </c>
      <c r="B30" s="10">
        <f>B7</f>
        <v>66.0274</v>
      </c>
      <c r="C30" s="11">
        <f>B30/$B$33</f>
        <v>0.10799104700486002</v>
      </c>
      <c r="D30" s="4"/>
      <c r="E30" s="4"/>
      <c r="F30" s="4"/>
      <c r="G30" s="4"/>
      <c r="H30" s="4"/>
      <c r="I30" s="4"/>
      <c r="J30" s="4"/>
      <c r="K30" s="3"/>
      <c r="L30" s="3"/>
      <c r="M30" s="4"/>
    </row>
    <row r="31" spans="1:13" ht="15.6" x14ac:dyDescent="0.25">
      <c r="A31" s="26" t="s">
        <v>185</v>
      </c>
      <c r="B31" s="10">
        <f>D22</f>
        <v>183.42465000000004</v>
      </c>
      <c r="C31" s="11">
        <f>B31/$B$33</f>
        <v>0.30000000000000004</v>
      </c>
      <c r="D31" s="4"/>
      <c r="E31" s="4"/>
      <c r="F31" s="4"/>
      <c r="G31" s="4"/>
      <c r="H31" s="4"/>
      <c r="I31" s="4"/>
      <c r="J31" s="4"/>
      <c r="K31" s="3"/>
      <c r="L31" s="3"/>
      <c r="M31" s="4"/>
    </row>
    <row r="32" spans="1:13" ht="15.6" x14ac:dyDescent="0.25">
      <c r="A32" s="26" t="s">
        <v>187</v>
      </c>
      <c r="B32" s="10">
        <f>D23</f>
        <v>61.141550000000009</v>
      </c>
      <c r="C32" s="11">
        <f>B32/$B$33</f>
        <v>0.1</v>
      </c>
      <c r="D32" s="4"/>
      <c r="E32" s="4"/>
      <c r="F32" s="4"/>
      <c r="G32" s="4"/>
      <c r="H32" s="4"/>
      <c r="I32" s="4"/>
      <c r="J32" s="4"/>
      <c r="K32" s="3"/>
      <c r="L32" s="3"/>
      <c r="M32" s="4"/>
    </row>
    <row r="33" spans="1:18" ht="15.6" x14ac:dyDescent="0.25">
      <c r="A33" s="20" t="s">
        <v>8</v>
      </c>
      <c r="B33" s="16">
        <f>SUM(B28:B32)</f>
        <v>611.41550000000007</v>
      </c>
      <c r="C33" s="12">
        <f>SUM(C28:C32)</f>
        <v>1</v>
      </c>
      <c r="D33" s="4"/>
      <c r="E33" s="4"/>
      <c r="F33" s="4"/>
      <c r="G33" s="4"/>
      <c r="H33" s="4"/>
      <c r="I33" s="4"/>
      <c r="J33" s="4"/>
      <c r="K33" s="3"/>
      <c r="L33" s="3"/>
      <c r="M33" s="4"/>
      <c r="N33" s="4"/>
      <c r="O33" s="4"/>
      <c r="P33" s="4"/>
      <c r="Q33" s="4"/>
      <c r="R33" s="4"/>
    </row>
    <row r="40" spans="1:18" ht="15.6" x14ac:dyDescent="0.25">
      <c r="A40" s="4"/>
      <c r="B40" s="2"/>
      <c r="C40" s="2"/>
      <c r="D40" s="3"/>
      <c r="E40" s="4"/>
      <c r="F40" s="4"/>
      <c r="G40" s="4"/>
      <c r="H40" s="4"/>
      <c r="I40" s="4"/>
      <c r="J40" s="4"/>
      <c r="K40" s="4"/>
      <c r="L40" s="4"/>
      <c r="M40" s="4"/>
      <c r="N40" s="4"/>
      <c r="O40" s="4"/>
      <c r="P40" s="4"/>
      <c r="Q40" s="4"/>
      <c r="R40" s="4"/>
    </row>
    <row r="41" spans="1:18" ht="15.6" x14ac:dyDescent="0.25">
      <c r="A41" s="1" t="s">
        <v>188</v>
      </c>
      <c r="B41" s="2"/>
      <c r="C41" s="2"/>
      <c r="D41" s="3"/>
      <c r="E41" s="4"/>
      <c r="F41" s="4"/>
      <c r="G41" s="4"/>
      <c r="H41" s="4"/>
      <c r="I41" s="4"/>
      <c r="J41" s="4"/>
      <c r="K41" s="4"/>
      <c r="L41" s="4"/>
      <c r="M41" s="4"/>
      <c r="N41" s="4"/>
      <c r="O41" s="4"/>
      <c r="P41" s="4"/>
      <c r="Q41" s="4"/>
      <c r="R41" s="4"/>
    </row>
    <row r="42" spans="1:18" ht="15.6" x14ac:dyDescent="0.25">
      <c r="A42" s="1"/>
      <c r="B42" s="2"/>
      <c r="C42" s="2"/>
      <c r="D42" s="3"/>
      <c r="E42" s="4"/>
      <c r="F42" s="4"/>
      <c r="G42" s="4"/>
      <c r="H42" s="4"/>
      <c r="I42" s="4"/>
      <c r="J42" s="4"/>
      <c r="K42" s="4"/>
      <c r="L42" s="4"/>
      <c r="M42" s="4"/>
      <c r="N42" s="4"/>
      <c r="O42" s="4"/>
      <c r="P42" s="4"/>
      <c r="Q42" s="4"/>
      <c r="R42" s="4"/>
    </row>
    <row r="43" spans="1:18" ht="15.6" x14ac:dyDescent="0.25">
      <c r="A43" s="19" t="s">
        <v>46</v>
      </c>
      <c r="B43" s="19"/>
      <c r="C43" s="19"/>
      <c r="D43" s="19"/>
      <c r="E43" s="19"/>
      <c r="F43" s="4"/>
      <c r="G43" s="4"/>
      <c r="H43" s="4"/>
      <c r="I43" s="4"/>
      <c r="J43" s="4"/>
      <c r="K43" s="4"/>
      <c r="L43" s="4"/>
      <c r="M43" s="4"/>
      <c r="N43" s="4"/>
      <c r="O43" s="4"/>
      <c r="P43" s="4"/>
      <c r="Q43" s="4"/>
      <c r="R43" s="4"/>
    </row>
    <row r="44" spans="1:18" ht="15.6" x14ac:dyDescent="0.25">
      <c r="A44" s="20"/>
      <c r="B44" s="5" t="s">
        <v>47</v>
      </c>
      <c r="C44" s="7" t="s">
        <v>31</v>
      </c>
      <c r="D44" s="7" t="s">
        <v>32</v>
      </c>
      <c r="E44" s="8" t="s">
        <v>48</v>
      </c>
      <c r="F44" s="4"/>
      <c r="G44" s="4"/>
      <c r="H44" s="4"/>
      <c r="I44" s="4"/>
      <c r="J44" s="4"/>
      <c r="K44" s="4"/>
      <c r="L44" s="4"/>
      <c r="M44" s="4"/>
      <c r="N44" s="4"/>
      <c r="O44" s="4"/>
      <c r="P44" s="4"/>
      <c r="Q44" s="4"/>
      <c r="R44" s="4"/>
    </row>
    <row r="45" spans="1:18" ht="15.6" x14ac:dyDescent="0.25">
      <c r="A45" s="20" t="s">
        <v>24</v>
      </c>
      <c r="B45" s="13">
        <f>B9*C45/(1-C45)</f>
        <v>351.23286666666672</v>
      </c>
      <c r="C45" s="29">
        <v>0.4</v>
      </c>
      <c r="D45" s="14">
        <f>B45/(B9+B45)</f>
        <v>0.4</v>
      </c>
      <c r="E45" s="30">
        <f>B45*F55</f>
        <v>8000</v>
      </c>
      <c r="F45" s="4"/>
      <c r="G45" s="4"/>
      <c r="H45" s="4"/>
      <c r="I45" s="4"/>
      <c r="J45" s="4"/>
      <c r="K45" s="4"/>
      <c r="L45" s="4"/>
      <c r="M45" s="4"/>
      <c r="N45" s="4"/>
      <c r="O45" s="4"/>
      <c r="P45" s="4"/>
      <c r="Q45" s="4"/>
      <c r="R45" s="4"/>
    </row>
    <row r="46" spans="1:18" ht="15.6" x14ac:dyDescent="0.25">
      <c r="A46" s="20" t="s">
        <v>183</v>
      </c>
      <c r="B46" s="13">
        <f>$B$45*C46/$C$45</f>
        <v>263.42465000000004</v>
      </c>
      <c r="C46" s="29">
        <v>0.3</v>
      </c>
      <c r="D46" s="14">
        <f>B46/(B45+B9)</f>
        <v>0.3</v>
      </c>
      <c r="E46" s="30">
        <f>$E$45*C46/($C$46+$C$47)</f>
        <v>6000</v>
      </c>
      <c r="F46" s="4"/>
      <c r="G46" s="4"/>
      <c r="H46" s="4"/>
      <c r="I46" s="4"/>
      <c r="J46" s="4"/>
      <c r="K46" s="4"/>
      <c r="L46" s="4"/>
      <c r="M46" s="4"/>
      <c r="N46" s="4"/>
      <c r="O46" s="4"/>
      <c r="P46" s="4"/>
      <c r="Q46" s="4"/>
      <c r="R46" s="4"/>
    </row>
    <row r="47" spans="1:18" ht="15.6" x14ac:dyDescent="0.25">
      <c r="A47" s="20" t="s">
        <v>184</v>
      </c>
      <c r="B47" s="13">
        <f>$B$45*C47/$C$45</f>
        <v>87.808216666666681</v>
      </c>
      <c r="C47" s="29">
        <v>0.1</v>
      </c>
      <c r="D47" s="14">
        <f>B47/(B45+B9)</f>
        <v>0.1</v>
      </c>
      <c r="E47" s="30">
        <f>$E$45*C47/($C$46+$C$47)</f>
        <v>2000</v>
      </c>
      <c r="F47" s="4"/>
      <c r="G47" s="4"/>
      <c r="H47" s="4"/>
      <c r="I47" s="4"/>
      <c r="J47" s="4"/>
      <c r="K47" s="4"/>
      <c r="L47" s="4"/>
      <c r="M47" s="4"/>
      <c r="N47" s="4"/>
      <c r="O47" s="4"/>
      <c r="P47" s="4"/>
      <c r="Q47" s="4"/>
      <c r="R47" s="4"/>
    </row>
    <row r="48" spans="1:18" ht="15.6" x14ac:dyDescent="0.25">
      <c r="A48" s="1"/>
      <c r="B48" s="2"/>
      <c r="C48" s="2"/>
      <c r="D48" s="3"/>
      <c r="E48" s="4"/>
      <c r="F48" s="4"/>
      <c r="G48" s="4"/>
      <c r="H48" s="4"/>
      <c r="I48" s="4"/>
      <c r="J48" s="4"/>
      <c r="K48" s="4"/>
      <c r="L48" s="4"/>
      <c r="M48" s="4"/>
      <c r="N48" s="4"/>
      <c r="O48" s="4"/>
      <c r="P48" s="4"/>
      <c r="Q48" s="4"/>
      <c r="R48" s="4"/>
    </row>
    <row r="49" spans="1:18" ht="15.6" x14ac:dyDescent="0.25">
      <c r="A49" s="4"/>
      <c r="B49" s="2"/>
      <c r="C49" s="2"/>
      <c r="D49" s="3"/>
      <c r="E49" s="4"/>
      <c r="F49" s="4"/>
      <c r="G49" s="4"/>
      <c r="H49" s="4"/>
      <c r="I49" s="4"/>
      <c r="J49" s="4"/>
      <c r="K49" s="4"/>
      <c r="L49" s="4"/>
      <c r="M49" s="4"/>
      <c r="N49" s="4"/>
      <c r="O49" s="4"/>
      <c r="P49" s="4"/>
      <c r="Q49" s="4"/>
      <c r="R49" s="4"/>
    </row>
    <row r="50" spans="1:18" ht="15.6" x14ac:dyDescent="0.25">
      <c r="A50" s="19" t="s">
        <v>40</v>
      </c>
      <c r="B50" s="19"/>
      <c r="C50" s="19"/>
      <c r="D50" s="3"/>
      <c r="E50" s="4"/>
      <c r="F50" s="4"/>
      <c r="G50" s="4"/>
      <c r="H50" s="4"/>
      <c r="I50" s="4"/>
      <c r="J50" s="4"/>
      <c r="K50" s="4"/>
      <c r="L50" s="4"/>
      <c r="M50" s="4"/>
      <c r="N50" s="4"/>
      <c r="O50" s="4"/>
      <c r="P50" s="4"/>
      <c r="Q50" s="4"/>
      <c r="R50" s="4"/>
    </row>
    <row r="51" spans="1:18" s="4" customFormat="1" ht="15.6" x14ac:dyDescent="0.25">
      <c r="A51" s="20" t="s">
        <v>18</v>
      </c>
      <c r="B51" s="20" t="s">
        <v>12</v>
      </c>
      <c r="C51" s="20" t="s">
        <v>29</v>
      </c>
    </row>
    <row r="52" spans="1:18" s="4" customFormat="1" ht="15.6" x14ac:dyDescent="0.25">
      <c r="A52" s="20" t="s">
        <v>175</v>
      </c>
      <c r="B52" s="13">
        <f>B5</f>
        <v>273.4246</v>
      </c>
      <c r="C52" s="11">
        <f>B52/$B$57</f>
        <v>0.31138839892166503</v>
      </c>
    </row>
    <row r="53" spans="1:18" s="4" customFormat="1" ht="16.2" thickBot="1" x14ac:dyDescent="0.3">
      <c r="A53" s="20" t="str">
        <f>A6</f>
        <v>BBB</v>
      </c>
      <c r="B53" s="13">
        <f>B6</f>
        <v>27.397300000000001</v>
      </c>
      <c r="C53" s="11">
        <f>B53/$B$57</f>
        <v>3.1201294184124376E-2</v>
      </c>
    </row>
    <row r="54" spans="1:18" s="4" customFormat="1" ht="15.6" x14ac:dyDescent="0.25">
      <c r="A54" s="20" t="s">
        <v>179</v>
      </c>
      <c r="B54" s="13">
        <f>B7+B8</f>
        <v>226.0274</v>
      </c>
      <c r="C54" s="11">
        <f>B54/$B$57</f>
        <v>0.25741030689421052</v>
      </c>
      <c r="E54" s="31" t="s">
        <v>14</v>
      </c>
      <c r="F54" s="32">
        <v>12000</v>
      </c>
      <c r="G54" s="4" t="s">
        <v>15</v>
      </c>
    </row>
    <row r="55" spans="1:18" s="4" customFormat="1" ht="15.6" x14ac:dyDescent="0.25">
      <c r="A55" s="38" t="s">
        <v>183</v>
      </c>
      <c r="B55" s="13">
        <f>B46</f>
        <v>263.42465000000004</v>
      </c>
      <c r="C55" s="11">
        <f>B55/$B$57</f>
        <v>0.3</v>
      </c>
      <c r="E55" s="20" t="s">
        <v>16</v>
      </c>
      <c r="F55" s="6">
        <f>F54/B9</f>
        <v>22.776911727888788</v>
      </c>
      <c r="G55" s="4" t="s">
        <v>182</v>
      </c>
      <c r="K55" s="3"/>
      <c r="L55" s="3"/>
    </row>
    <row r="56" spans="1:18" s="4" customFormat="1" ht="15.6" x14ac:dyDescent="0.25">
      <c r="A56" s="38" t="s">
        <v>184</v>
      </c>
      <c r="B56" s="13">
        <f>B47</f>
        <v>87.808216666666681</v>
      </c>
      <c r="C56" s="11">
        <f>B56/$B$57</f>
        <v>0.1</v>
      </c>
      <c r="E56" s="20" t="s">
        <v>11</v>
      </c>
      <c r="F56" s="6">
        <f>(B9+B45)*F55</f>
        <v>20000</v>
      </c>
      <c r="K56" s="3"/>
      <c r="L56" s="3"/>
    </row>
    <row r="57" spans="1:18" s="4" customFormat="1" ht="15.6" x14ac:dyDescent="0.25">
      <c r="A57" s="20" t="s">
        <v>8</v>
      </c>
      <c r="B57" s="16">
        <f>SUM(B52:B56)</f>
        <v>878.08216666666681</v>
      </c>
      <c r="C57" s="12">
        <f>SUM(C52:C56)</f>
        <v>0.99999999999999989</v>
      </c>
      <c r="K57" s="3"/>
      <c r="L57" s="3"/>
    </row>
    <row r="58" spans="1:18" ht="15.6" x14ac:dyDescent="0.25">
      <c r="A58" s="4"/>
      <c r="B58" s="2"/>
      <c r="C58" s="2"/>
      <c r="D58" s="3"/>
      <c r="E58" s="4"/>
      <c r="F58" s="4"/>
      <c r="G58" s="4"/>
      <c r="H58" s="4"/>
      <c r="I58" s="4"/>
      <c r="J58" s="4"/>
      <c r="K58" s="4"/>
      <c r="L58" s="4"/>
      <c r="M58" s="4"/>
      <c r="N58" s="4"/>
      <c r="O58" s="4"/>
      <c r="P58" s="4"/>
      <c r="Q58" s="4"/>
      <c r="R58" s="4"/>
    </row>
    <row r="59" spans="1:18" ht="15.6" x14ac:dyDescent="0.25">
      <c r="A59" s="4"/>
      <c r="B59" s="2"/>
      <c r="C59" s="2"/>
      <c r="D59" s="3"/>
      <c r="E59" s="4"/>
      <c r="F59" s="4"/>
      <c r="G59" s="4"/>
      <c r="H59" s="4"/>
      <c r="I59" s="4"/>
      <c r="J59" s="4"/>
      <c r="K59" s="4"/>
      <c r="L59" s="4"/>
      <c r="M59" s="4"/>
      <c r="N59" s="4"/>
      <c r="O59" s="4"/>
      <c r="P59" s="4"/>
      <c r="Q59" s="4"/>
      <c r="R59" s="4"/>
    </row>
    <row r="60" spans="1:18" ht="15.6" x14ac:dyDescent="0.25">
      <c r="A60" s="4"/>
      <c r="B60" s="2"/>
      <c r="C60" s="2"/>
      <c r="D60" s="3"/>
      <c r="E60" s="4"/>
      <c r="F60" s="4"/>
      <c r="G60" s="4"/>
      <c r="H60" s="4"/>
      <c r="I60" s="4"/>
      <c r="J60" s="4"/>
      <c r="K60" s="4"/>
      <c r="L60" s="4"/>
      <c r="M60" s="4"/>
      <c r="N60" s="4"/>
      <c r="O60" s="4"/>
      <c r="P60" s="4"/>
      <c r="Q60" s="4"/>
      <c r="R60" s="4"/>
    </row>
    <row r="61" spans="1:18" ht="15.6" hidden="1" x14ac:dyDescent="0.25">
      <c r="A61" s="20"/>
      <c r="B61" s="20"/>
      <c r="C61" s="20"/>
      <c r="D61" s="20"/>
      <c r="E61" s="20"/>
      <c r="F61" s="20"/>
      <c r="G61" s="20"/>
      <c r="H61" s="20"/>
      <c r="I61" s="20"/>
      <c r="J61" s="4"/>
      <c r="K61" s="4"/>
      <c r="L61" s="4"/>
      <c r="M61" s="4"/>
      <c r="N61" s="4"/>
      <c r="O61" s="4"/>
      <c r="P61" s="4"/>
      <c r="Q61" s="4"/>
      <c r="R61" s="4"/>
    </row>
    <row r="62" spans="1:18" ht="15.6" hidden="1" x14ac:dyDescent="0.25">
      <c r="A62" s="4"/>
      <c r="B62" s="2"/>
      <c r="C62" s="2"/>
      <c r="D62" s="3"/>
      <c r="E62" s="4"/>
      <c r="F62" s="4"/>
      <c r="G62" s="4"/>
      <c r="H62" s="4"/>
      <c r="I62" s="4"/>
      <c r="J62" s="4"/>
      <c r="K62" s="4"/>
      <c r="L62" s="4"/>
      <c r="M62" s="4"/>
      <c r="N62" s="4"/>
      <c r="O62" s="4"/>
      <c r="P62" s="4"/>
      <c r="Q62" s="4"/>
      <c r="R62" s="4"/>
    </row>
    <row r="63" spans="1:18" ht="15.6" hidden="1" x14ac:dyDescent="0.25">
      <c r="A63" s="1" t="s">
        <v>10</v>
      </c>
      <c r="B63" s="4"/>
      <c r="C63" s="4"/>
      <c r="D63" s="3"/>
      <c r="E63" s="4"/>
      <c r="F63" s="4"/>
      <c r="G63" s="4"/>
      <c r="H63" s="4"/>
      <c r="I63" s="4"/>
      <c r="J63" s="4"/>
      <c r="K63" s="4"/>
      <c r="L63" s="4"/>
      <c r="M63" s="4"/>
      <c r="N63" s="4"/>
      <c r="O63" s="4"/>
      <c r="P63" s="4"/>
      <c r="Q63" s="4"/>
      <c r="R63" s="4"/>
    </row>
    <row r="64" spans="1:18" ht="15.6" hidden="1" x14ac:dyDescent="0.25">
      <c r="A64" s="4"/>
      <c r="B64" s="4"/>
      <c r="C64" s="4"/>
      <c r="D64" s="3"/>
      <c r="E64" s="4"/>
      <c r="F64" s="4"/>
      <c r="G64" s="4"/>
      <c r="H64" s="4"/>
      <c r="I64" s="4"/>
      <c r="J64" s="4"/>
      <c r="K64" s="4"/>
      <c r="L64" s="4"/>
      <c r="M64" s="4"/>
      <c r="N64" s="4"/>
      <c r="O64" s="4"/>
      <c r="P64" s="4"/>
      <c r="Q64" s="4"/>
      <c r="R64" s="4"/>
    </row>
    <row r="65" spans="1:13" ht="15.6" hidden="1" x14ac:dyDescent="0.25">
      <c r="A65" s="20"/>
      <c r="B65" s="20" t="s">
        <v>9</v>
      </c>
      <c r="C65" s="20"/>
      <c r="D65" s="3"/>
      <c r="E65" s="4"/>
      <c r="F65" s="4"/>
      <c r="G65" s="4"/>
      <c r="H65" s="4"/>
      <c r="I65" s="4"/>
      <c r="J65" s="4"/>
      <c r="K65" s="4"/>
      <c r="L65" s="4"/>
      <c r="M65" s="4"/>
    </row>
    <row r="66" spans="1:13" ht="15.6" hidden="1" x14ac:dyDescent="0.25">
      <c r="A66" s="20" t="s">
        <v>3</v>
      </c>
      <c r="B66" s="39">
        <f>B10</f>
        <v>7692.0028810047161</v>
      </c>
      <c r="C66" s="15" t="s">
        <v>4</v>
      </c>
      <c r="D66" s="3"/>
      <c r="E66" s="4"/>
      <c r="F66" s="4"/>
      <c r="G66" s="4"/>
      <c r="H66" s="4"/>
      <c r="I66" s="4"/>
      <c r="J66" s="4"/>
      <c r="K66" s="4"/>
      <c r="L66" s="4"/>
      <c r="M66" s="4"/>
    </row>
    <row r="67" spans="1:13" ht="15.6" hidden="1" x14ac:dyDescent="0.25">
      <c r="A67" s="20" t="s">
        <v>0</v>
      </c>
      <c r="B67" s="39">
        <f>B10+E45</f>
        <v>15692.002881004715</v>
      </c>
      <c r="C67" s="15" t="s">
        <v>4</v>
      </c>
      <c r="D67" s="3"/>
      <c r="E67" s="4"/>
      <c r="F67" s="4"/>
      <c r="G67" s="4"/>
      <c r="H67" s="4"/>
      <c r="I67" s="4"/>
      <c r="J67" s="4"/>
      <c r="K67" s="4"/>
      <c r="L67" s="4"/>
      <c r="M67" s="4"/>
    </row>
    <row r="68" spans="1:13" ht="15.6" hidden="1" x14ac:dyDescent="0.25">
      <c r="A68" s="20" t="s">
        <v>5</v>
      </c>
      <c r="B68" s="17"/>
      <c r="C68" s="15" t="s">
        <v>4</v>
      </c>
      <c r="D68" s="3"/>
      <c r="E68" s="4"/>
      <c r="F68" s="4"/>
      <c r="G68" s="4"/>
      <c r="H68" s="4"/>
      <c r="I68" s="4"/>
      <c r="J68" s="4"/>
      <c r="K68" s="4"/>
      <c r="L68" s="4"/>
      <c r="M68" s="4"/>
    </row>
    <row r="69" spans="1:13" ht="15.6" hidden="1" x14ac:dyDescent="0.25">
      <c r="A69" s="20" t="s">
        <v>1</v>
      </c>
      <c r="B69" s="18" t="e">
        <f>B67/B68</f>
        <v>#DIV/0!</v>
      </c>
      <c r="C69" s="15" t="s">
        <v>6</v>
      </c>
      <c r="D69" s="3"/>
      <c r="E69" s="4"/>
      <c r="F69" s="4"/>
      <c r="G69" s="4"/>
      <c r="H69" s="4"/>
      <c r="I69" s="4"/>
      <c r="J69" s="4"/>
      <c r="K69" s="4"/>
      <c r="L69" s="4"/>
      <c r="M69" s="4"/>
    </row>
    <row r="70" spans="1:13" ht="15.6" hidden="1" x14ac:dyDescent="0.25">
      <c r="A70" s="20" t="s">
        <v>2</v>
      </c>
      <c r="B70" s="17"/>
      <c r="C70" s="15" t="s">
        <v>4</v>
      </c>
      <c r="D70" s="3"/>
      <c r="E70" s="4"/>
      <c r="F70" s="4"/>
      <c r="G70" s="4"/>
      <c r="H70" s="4"/>
      <c r="I70" s="4"/>
      <c r="J70" s="4"/>
      <c r="K70" s="4"/>
      <c r="L70" s="4"/>
      <c r="M70" s="4"/>
    </row>
    <row r="71" spans="1:13" ht="15.6" hidden="1" x14ac:dyDescent="0.25">
      <c r="A71" s="20" t="s">
        <v>7</v>
      </c>
      <c r="B71" s="18" t="e">
        <f>B67/B70</f>
        <v>#DIV/0!</v>
      </c>
      <c r="C71" s="15" t="s">
        <v>6</v>
      </c>
      <c r="D71" s="3"/>
      <c r="E71" s="4"/>
      <c r="F71" s="4"/>
      <c r="G71" s="4"/>
      <c r="H71" s="4"/>
      <c r="I71" s="4"/>
      <c r="J71" s="4"/>
      <c r="K71" s="4"/>
      <c r="L71" s="4"/>
      <c r="M71" s="4"/>
    </row>
    <row r="72" spans="1:13" ht="15.6" x14ac:dyDescent="0.25">
      <c r="A72" s="4"/>
      <c r="B72" s="2"/>
      <c r="C72" s="2"/>
      <c r="D72" s="3"/>
      <c r="E72" s="4"/>
      <c r="F72" s="4"/>
      <c r="G72" s="4"/>
      <c r="H72" s="4"/>
      <c r="I72" s="4"/>
      <c r="J72" s="4"/>
      <c r="K72" s="4"/>
      <c r="L72" s="3"/>
      <c r="M72" s="3"/>
    </row>
  </sheetData>
  <mergeCells count="5">
    <mergeCell ref="A19:A20"/>
    <mergeCell ref="B19:D19"/>
    <mergeCell ref="E19:E20"/>
    <mergeCell ref="F19:F20"/>
    <mergeCell ref="G19:I19"/>
  </mergeCells>
  <phoneticPr fontId="7"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showGridLines="0" zoomScaleNormal="100" workbookViewId="0">
      <selection activeCell="J15" sqref="J15"/>
    </sheetView>
  </sheetViews>
  <sheetFormatPr defaultRowHeight="10.8" x14ac:dyDescent="0.15"/>
  <cols>
    <col min="1" max="1" width="1.88671875" style="281" customWidth="1"/>
    <col min="2" max="2" width="15" style="281" customWidth="1"/>
    <col min="3" max="3" width="14.44140625" style="281" customWidth="1"/>
    <col min="4" max="13" width="14.109375" style="281" customWidth="1"/>
    <col min="14" max="14" width="10.77734375" style="281" bestFit="1" customWidth="1"/>
    <col min="15" max="17" width="14.21875" style="281" customWidth="1"/>
    <col min="18" max="16384" width="8.88671875" style="281"/>
  </cols>
  <sheetData>
    <row r="1" spans="2:17" x14ac:dyDescent="0.15">
      <c r="J1" s="282"/>
      <c r="K1" s="323"/>
      <c r="L1" s="324"/>
    </row>
    <row r="2" spans="2:17" x14ac:dyDescent="0.15">
      <c r="B2" s="264"/>
      <c r="J2" s="282"/>
    </row>
    <row r="3" spans="2:17" ht="11.4" thickBot="1" x14ac:dyDescent="0.2"/>
    <row r="4" spans="2:17" ht="11.4" thickBot="1" x14ac:dyDescent="0.2">
      <c r="B4" s="283" t="s">
        <v>967</v>
      </c>
      <c r="C4" s="284">
        <v>50000000</v>
      </c>
      <c r="D4" s="285"/>
      <c r="E4" s="285"/>
      <c r="F4" s="285"/>
      <c r="G4" s="285"/>
      <c r="H4" s="285"/>
      <c r="I4" s="285"/>
      <c r="J4" s="285"/>
      <c r="K4" s="285"/>
      <c r="L4" s="285"/>
      <c r="M4" s="286"/>
      <c r="O4" s="264" t="s">
        <v>985</v>
      </c>
    </row>
    <row r="5" spans="2:17" x14ac:dyDescent="0.15">
      <c r="B5" s="287" t="s">
        <v>1002</v>
      </c>
      <c r="C5" s="288">
        <v>1000000</v>
      </c>
      <c r="D5" s="289"/>
      <c r="E5" s="290"/>
      <c r="F5" s="289"/>
      <c r="G5" s="289"/>
      <c r="H5" s="289"/>
      <c r="I5" s="289"/>
      <c r="J5" s="289"/>
      <c r="K5" s="289"/>
      <c r="L5" s="289"/>
      <c r="M5" s="291"/>
      <c r="O5" s="292"/>
      <c r="P5" s="293" t="s">
        <v>998</v>
      </c>
      <c r="Q5" s="294" t="s">
        <v>999</v>
      </c>
    </row>
    <row r="6" spans="2:17" x14ac:dyDescent="0.15">
      <c r="B6" s="287" t="s">
        <v>1003</v>
      </c>
      <c r="C6" s="295">
        <f>C4/C5</f>
        <v>50</v>
      </c>
      <c r="D6" s="289"/>
      <c r="E6" s="289"/>
      <c r="F6" s="289"/>
      <c r="G6" s="289"/>
      <c r="H6" s="289"/>
      <c r="I6" s="289"/>
      <c r="J6" s="289"/>
      <c r="K6" s="289"/>
      <c r="L6" s="289"/>
      <c r="M6" s="291"/>
      <c r="O6" s="296" t="s">
        <v>1004</v>
      </c>
      <c r="P6" s="297">
        <f>F10</f>
        <v>2500000</v>
      </c>
      <c r="Q6" s="298">
        <f>J10</f>
        <v>0.05</v>
      </c>
    </row>
    <row r="7" spans="2:17" ht="11.4" thickBot="1" x14ac:dyDescent="0.2">
      <c r="B7" s="299"/>
      <c r="C7" s="300"/>
      <c r="D7" s="289"/>
      <c r="E7" s="289"/>
      <c r="F7" s="289"/>
      <c r="G7" s="289"/>
      <c r="H7" s="289"/>
      <c r="I7" s="289"/>
      <c r="J7" s="289"/>
      <c r="K7" s="289"/>
      <c r="L7" s="289"/>
      <c r="M7" s="291"/>
      <c r="O7" s="301" t="s">
        <v>1001</v>
      </c>
      <c r="P7" s="302">
        <f>G11</f>
        <v>2631578.9473684211</v>
      </c>
      <c r="Q7" s="303">
        <f>J11</f>
        <v>9.7500000000000017E-2</v>
      </c>
    </row>
    <row r="8" spans="2:17" x14ac:dyDescent="0.15">
      <c r="B8" s="296"/>
      <c r="C8" s="295"/>
      <c r="D8" s="399" t="s">
        <v>965</v>
      </c>
      <c r="E8" s="399"/>
      <c r="F8" s="400" t="s">
        <v>987</v>
      </c>
      <c r="G8" s="401"/>
      <c r="H8" s="399" t="s">
        <v>988</v>
      </c>
      <c r="I8" s="399"/>
      <c r="J8" s="399"/>
      <c r="K8" s="399" t="s">
        <v>989</v>
      </c>
      <c r="L8" s="399"/>
      <c r="M8" s="402"/>
    </row>
    <row r="9" spans="2:17" ht="11.4" thickBot="1" x14ac:dyDescent="0.2">
      <c r="B9" s="296"/>
      <c r="C9" s="304" t="s">
        <v>1005</v>
      </c>
      <c r="D9" s="305" t="s">
        <v>1000</v>
      </c>
      <c r="E9" s="305" t="s">
        <v>986</v>
      </c>
      <c r="F9" s="305" t="s">
        <v>1000</v>
      </c>
      <c r="G9" s="305" t="s">
        <v>986</v>
      </c>
      <c r="H9" s="306" t="s">
        <v>1023</v>
      </c>
      <c r="I9" s="306" t="s">
        <v>1006</v>
      </c>
      <c r="J9" s="305" t="s">
        <v>1024</v>
      </c>
      <c r="K9" s="306" t="s">
        <v>967</v>
      </c>
      <c r="L9" s="306" t="s">
        <v>11</v>
      </c>
      <c r="M9" s="307" t="s">
        <v>1007</v>
      </c>
      <c r="O9" s="264" t="s">
        <v>1008</v>
      </c>
    </row>
    <row r="10" spans="2:17" x14ac:dyDescent="0.15">
      <c r="B10" s="308" t="s">
        <v>990</v>
      </c>
      <c r="C10" s="309">
        <v>0.05</v>
      </c>
      <c r="D10" s="297">
        <f>C5*C10</f>
        <v>50000</v>
      </c>
      <c r="E10" s="297"/>
      <c r="F10" s="297">
        <f>D10*C6</f>
        <v>2500000</v>
      </c>
      <c r="G10" s="297"/>
      <c r="H10" s="297">
        <f>D10</f>
        <v>50000</v>
      </c>
      <c r="I10" s="297">
        <f>C5</f>
        <v>1000000</v>
      </c>
      <c r="J10" s="310">
        <f>H10/I10</f>
        <v>0.05</v>
      </c>
      <c r="K10" s="297">
        <f>I10*C6</f>
        <v>50000000</v>
      </c>
      <c r="L10" s="297">
        <f>I10*C6</f>
        <v>50000000</v>
      </c>
      <c r="M10" s="311">
        <f>L10/I10</f>
        <v>50</v>
      </c>
      <c r="O10" s="292"/>
      <c r="P10" s="293" t="s">
        <v>998</v>
      </c>
      <c r="Q10" s="294" t="s">
        <v>999</v>
      </c>
    </row>
    <row r="11" spans="2:17" x14ac:dyDescent="0.15">
      <c r="B11" s="312" t="s">
        <v>993</v>
      </c>
      <c r="C11" s="309">
        <v>0.05</v>
      </c>
      <c r="D11" s="297"/>
      <c r="E11" s="297">
        <f>I10*C11/(1-C11)</f>
        <v>52631.57894736842</v>
      </c>
      <c r="F11" s="297"/>
      <c r="G11" s="297">
        <f>E11*C6</f>
        <v>2631578.9473684211</v>
      </c>
      <c r="H11" s="297">
        <f>H10+E11</f>
        <v>102631.57894736843</v>
      </c>
      <c r="I11" s="297">
        <f>I10+E11</f>
        <v>1052631.5789473683</v>
      </c>
      <c r="J11" s="310">
        <f>H11/I11</f>
        <v>9.7500000000000017E-2</v>
      </c>
      <c r="K11" s="297">
        <f>L10</f>
        <v>50000000</v>
      </c>
      <c r="L11" s="297">
        <f>K11+G11</f>
        <v>52631578.947368421</v>
      </c>
      <c r="M11" s="313">
        <f>L11/I11</f>
        <v>50.000000000000007</v>
      </c>
      <c r="O11" s="296" t="s">
        <v>994</v>
      </c>
      <c r="P11" s="314"/>
      <c r="Q11" s="315"/>
    </row>
    <row r="12" spans="2:17" ht="11.4" thickBot="1" x14ac:dyDescent="0.2">
      <c r="B12" s="312" t="s">
        <v>995</v>
      </c>
      <c r="C12" s="309">
        <v>0.05</v>
      </c>
      <c r="D12" s="297"/>
      <c r="E12" s="297">
        <f>I11*C12/(1-C12)</f>
        <v>55401.662049861494</v>
      </c>
      <c r="F12" s="297"/>
      <c r="G12" s="297">
        <f>E12*M11</f>
        <v>2770083.1024930752</v>
      </c>
      <c r="H12" s="297">
        <f>H10+E11+E12</f>
        <v>158033.24099722994</v>
      </c>
      <c r="I12" s="297">
        <f>I10+E11+E12</f>
        <v>1108033.2409972297</v>
      </c>
      <c r="J12" s="310">
        <f>H12/I12</f>
        <v>0.14262500000000006</v>
      </c>
      <c r="K12" s="297">
        <f>L11</f>
        <v>52631578.947368421</v>
      </c>
      <c r="L12" s="297">
        <f>K12+G12</f>
        <v>55401662.049861498</v>
      </c>
      <c r="M12" s="313">
        <f>L12/I12</f>
        <v>50.000000000000014</v>
      </c>
      <c r="O12" s="301" t="s">
        <v>1001</v>
      </c>
      <c r="P12" s="302">
        <f>G12</f>
        <v>2770083.1024930752</v>
      </c>
      <c r="Q12" s="316">
        <f>J12</f>
        <v>0.14262500000000006</v>
      </c>
    </row>
    <row r="13" spans="2:17" x14ac:dyDescent="0.15">
      <c r="B13" s="312" t="s">
        <v>996</v>
      </c>
      <c r="C13" s="309">
        <v>0.05</v>
      </c>
      <c r="D13" s="297"/>
      <c r="E13" s="297">
        <f>I12*C13/(1-C13)</f>
        <v>58317.538999854201</v>
      </c>
      <c r="F13" s="297"/>
      <c r="G13" s="297">
        <f>E13*M12</f>
        <v>2915876.9499927107</v>
      </c>
      <c r="H13" s="297">
        <f>H10+E11+E12+E13</f>
        <v>216350.77999708414</v>
      </c>
      <c r="I13" s="297">
        <f>I10+E11+E12+E13</f>
        <v>1166350.7799970838</v>
      </c>
      <c r="J13" s="310">
        <f>H13/I13</f>
        <v>0.18549375000000007</v>
      </c>
      <c r="K13" s="297">
        <f>L12</f>
        <v>55401662.049861498</v>
      </c>
      <c r="L13" s="297">
        <f>L12+G13</f>
        <v>58317538.999854207</v>
      </c>
      <c r="M13" s="313">
        <f>L13/I13</f>
        <v>50.000000000000014</v>
      </c>
    </row>
    <row r="14" spans="2:17" ht="11.4" thickBot="1" x14ac:dyDescent="0.2">
      <c r="B14" s="308" t="s">
        <v>997</v>
      </c>
      <c r="C14" s="309">
        <v>0.05</v>
      </c>
      <c r="D14" s="297">
        <f>I13*C14</f>
        <v>58317.538999854194</v>
      </c>
      <c r="E14" s="297"/>
      <c r="F14" s="297">
        <f>D14*M13</f>
        <v>2915876.9499927107</v>
      </c>
      <c r="G14" s="297"/>
      <c r="H14" s="297">
        <f>H10+E11+E12+E13+D14</f>
        <v>274668.31899693835</v>
      </c>
      <c r="I14" s="297">
        <f>I13</f>
        <v>1166350.7799970838</v>
      </c>
      <c r="J14" s="317">
        <f>H14/I14</f>
        <v>0.23549375000000008</v>
      </c>
      <c r="K14" s="297">
        <f>L13</f>
        <v>58317538.999854207</v>
      </c>
      <c r="L14" s="297">
        <f>K14</f>
        <v>58317538.999854207</v>
      </c>
      <c r="M14" s="313">
        <f>L14/I14</f>
        <v>50.000000000000014</v>
      </c>
      <c r="O14" s="264" t="s">
        <v>1009</v>
      </c>
    </row>
    <row r="15" spans="2:17" x14ac:dyDescent="0.15">
      <c r="B15" s="299"/>
      <c r="C15" s="289"/>
      <c r="D15" s="289"/>
      <c r="E15" s="289"/>
      <c r="F15" s="289"/>
      <c r="G15" s="289"/>
      <c r="H15" s="289"/>
      <c r="I15" s="289"/>
      <c r="J15" s="289"/>
      <c r="K15" s="289"/>
      <c r="L15" s="289"/>
      <c r="M15" s="291"/>
      <c r="O15" s="292"/>
      <c r="P15" s="293" t="s">
        <v>991</v>
      </c>
      <c r="Q15" s="294" t="s">
        <v>992</v>
      </c>
    </row>
    <row r="16" spans="2:17" x14ac:dyDescent="0.15">
      <c r="B16" s="287" t="s">
        <v>1010</v>
      </c>
      <c r="C16" s="297">
        <f>F10+F14</f>
        <v>5415876.9499927107</v>
      </c>
      <c r="D16" s="289"/>
      <c r="E16" s="289"/>
      <c r="F16" s="289"/>
      <c r="G16" s="289"/>
      <c r="H16" s="289"/>
      <c r="I16" s="289"/>
      <c r="J16" s="289"/>
      <c r="K16" s="289"/>
      <c r="L16" s="289"/>
      <c r="M16" s="291"/>
      <c r="O16" s="296" t="s">
        <v>1001</v>
      </c>
      <c r="P16" s="297">
        <f>G13</f>
        <v>2915876.9499927107</v>
      </c>
      <c r="Q16" s="318">
        <f>J13</f>
        <v>0.18549375000000007</v>
      </c>
    </row>
    <row r="17" spans="2:17" ht="11.4" thickBot="1" x14ac:dyDescent="0.2">
      <c r="B17" s="287" t="s">
        <v>986</v>
      </c>
      <c r="C17" s="297">
        <f>G11+G12+G13</f>
        <v>8317538.999854207</v>
      </c>
      <c r="D17" s="289"/>
      <c r="E17" s="289"/>
      <c r="F17" s="289"/>
      <c r="G17" s="289"/>
      <c r="H17" s="289"/>
      <c r="I17" s="289"/>
      <c r="J17" s="289"/>
      <c r="K17" s="289"/>
      <c r="L17" s="289"/>
      <c r="M17" s="291"/>
      <c r="O17" s="301" t="s">
        <v>994</v>
      </c>
      <c r="P17" s="302">
        <f>F14</f>
        <v>2915876.9499927107</v>
      </c>
      <c r="Q17" s="316">
        <f>J14</f>
        <v>0.23549375000000008</v>
      </c>
    </row>
    <row r="18" spans="2:17" ht="11.4" thickBot="1" x14ac:dyDescent="0.2">
      <c r="B18" s="319" t="s">
        <v>8</v>
      </c>
      <c r="C18" s="320">
        <f>SUM(C16:C17)</f>
        <v>13733415.949846918</v>
      </c>
      <c r="D18" s="321"/>
      <c r="E18" s="321"/>
      <c r="F18" s="321"/>
      <c r="G18" s="321"/>
      <c r="H18" s="321"/>
      <c r="I18" s="321"/>
      <c r="J18" s="321"/>
      <c r="K18" s="321"/>
      <c r="L18" s="321"/>
      <c r="M18" s="322"/>
    </row>
    <row r="22" spans="2:17" x14ac:dyDescent="0.15">
      <c r="B22" s="264"/>
    </row>
    <row r="23" spans="2:17" ht="11.4" thickBot="1" x14ac:dyDescent="0.2"/>
    <row r="24" spans="2:17" x14ac:dyDescent="0.15">
      <c r="B24" s="283" t="s">
        <v>1017</v>
      </c>
      <c r="C24" s="284">
        <v>50000000</v>
      </c>
      <c r="D24" s="285"/>
      <c r="E24" s="285"/>
      <c r="F24" s="285"/>
      <c r="G24" s="285"/>
      <c r="H24" s="285"/>
      <c r="I24" s="285"/>
      <c r="J24" s="285"/>
      <c r="K24" s="285"/>
      <c r="L24" s="285"/>
      <c r="M24" s="286"/>
    </row>
    <row r="25" spans="2:17" x14ac:dyDescent="0.15">
      <c r="B25" s="287" t="s">
        <v>1021</v>
      </c>
      <c r="C25" s="288">
        <v>1000000</v>
      </c>
      <c r="D25" s="289"/>
      <c r="E25" s="290"/>
      <c r="F25" s="289"/>
      <c r="G25" s="289"/>
      <c r="H25" s="289"/>
      <c r="I25" s="289"/>
      <c r="J25" s="289"/>
      <c r="K25" s="289"/>
      <c r="L25" s="289"/>
      <c r="M25" s="291"/>
    </row>
    <row r="26" spans="2:17" x14ac:dyDescent="0.15">
      <c r="B26" s="287" t="s">
        <v>1022</v>
      </c>
      <c r="C26" s="295">
        <f>C24/C25</f>
        <v>50</v>
      </c>
      <c r="D26" s="289"/>
      <c r="E26" s="289"/>
      <c r="F26" s="289"/>
      <c r="G26" s="289"/>
      <c r="H26" s="289"/>
      <c r="I26" s="289"/>
      <c r="J26" s="289"/>
      <c r="K26" s="289"/>
      <c r="L26" s="289"/>
      <c r="M26" s="291"/>
    </row>
    <row r="27" spans="2:17" x14ac:dyDescent="0.15">
      <c r="B27" s="299"/>
      <c r="C27" s="300"/>
      <c r="D27" s="289"/>
      <c r="E27" s="289"/>
      <c r="F27" s="289"/>
      <c r="G27" s="289"/>
      <c r="H27" s="289"/>
      <c r="I27" s="289"/>
      <c r="J27" s="289"/>
      <c r="K27" s="289"/>
      <c r="L27" s="289"/>
      <c r="M27" s="291"/>
    </row>
    <row r="28" spans="2:17" x14ac:dyDescent="0.15">
      <c r="B28" s="296"/>
      <c r="C28" s="295"/>
      <c r="D28" s="399" t="s">
        <v>1011</v>
      </c>
      <c r="E28" s="399"/>
      <c r="F28" s="400" t="s">
        <v>1012</v>
      </c>
      <c r="G28" s="401"/>
      <c r="H28" s="399" t="s">
        <v>1013</v>
      </c>
      <c r="I28" s="399"/>
      <c r="J28" s="399"/>
      <c r="K28" s="399" t="s">
        <v>1014</v>
      </c>
      <c r="L28" s="399"/>
      <c r="M28" s="402"/>
    </row>
    <row r="29" spans="2:17" x14ac:dyDescent="0.15">
      <c r="B29" s="296"/>
      <c r="C29" s="304" t="s">
        <v>1015</v>
      </c>
      <c r="D29" s="305" t="s">
        <v>1010</v>
      </c>
      <c r="E29" s="305" t="s">
        <v>1001</v>
      </c>
      <c r="F29" s="305" t="s">
        <v>1010</v>
      </c>
      <c r="G29" s="305" t="s">
        <v>1001</v>
      </c>
      <c r="H29" s="306" t="s">
        <v>1023</v>
      </c>
      <c r="I29" s="306" t="s">
        <v>1016</v>
      </c>
      <c r="J29" s="305" t="s">
        <v>1024</v>
      </c>
      <c r="K29" s="306" t="s">
        <v>1017</v>
      </c>
      <c r="L29" s="306" t="s">
        <v>1018</v>
      </c>
      <c r="M29" s="307" t="s">
        <v>1019</v>
      </c>
    </row>
    <row r="30" spans="2:17" x14ac:dyDescent="0.15">
      <c r="B30" s="308" t="s">
        <v>990</v>
      </c>
      <c r="C30" s="309">
        <f>J30</f>
        <v>0.22</v>
      </c>
      <c r="D30" s="297">
        <f>F30/C26</f>
        <v>220000</v>
      </c>
      <c r="E30" s="297"/>
      <c r="F30" s="325">
        <v>11000000</v>
      </c>
      <c r="G30" s="297"/>
      <c r="H30" s="297">
        <f>D30</f>
        <v>220000</v>
      </c>
      <c r="I30" s="297">
        <f>C25</f>
        <v>1000000</v>
      </c>
      <c r="J30" s="310">
        <f>H30/I30</f>
        <v>0.22</v>
      </c>
      <c r="K30" s="297">
        <f>I30*C26</f>
        <v>50000000</v>
      </c>
      <c r="L30" s="297">
        <f>I30*C26</f>
        <v>50000000</v>
      </c>
      <c r="M30" s="311">
        <f>L30/I30</f>
        <v>50</v>
      </c>
    </row>
    <row r="31" spans="2:17" x14ac:dyDescent="0.15">
      <c r="B31" s="312" t="s">
        <v>993</v>
      </c>
      <c r="C31" s="309">
        <f>E31/I30</f>
        <v>0.04</v>
      </c>
      <c r="D31" s="297"/>
      <c r="E31" s="297">
        <f>G31/M30</f>
        <v>40000</v>
      </c>
      <c r="F31" s="297"/>
      <c r="G31" s="325">
        <v>2000000</v>
      </c>
      <c r="H31" s="297">
        <f>H30+E31</f>
        <v>260000</v>
      </c>
      <c r="I31" s="297">
        <f>I30+E31</f>
        <v>1040000</v>
      </c>
      <c r="J31" s="310">
        <f>H31/I31</f>
        <v>0.25</v>
      </c>
      <c r="K31" s="297">
        <f>L30</f>
        <v>50000000</v>
      </c>
      <c r="L31" s="297">
        <f>K31+G31</f>
        <v>52000000</v>
      </c>
      <c r="M31" s="313">
        <f>L31/I31</f>
        <v>50</v>
      </c>
    </row>
    <row r="32" spans="2:17" x14ac:dyDescent="0.15">
      <c r="B32" s="299"/>
      <c r="C32" s="289"/>
      <c r="D32" s="289"/>
      <c r="E32" s="289"/>
      <c r="F32" s="289"/>
      <c r="G32" s="289"/>
      <c r="H32" s="289"/>
      <c r="I32" s="289"/>
      <c r="J32" s="289"/>
      <c r="K32" s="289"/>
      <c r="L32" s="289"/>
      <c r="M32" s="291"/>
    </row>
    <row r="33" spans="2:13" x14ac:dyDescent="0.15">
      <c r="B33" s="287" t="s">
        <v>1000</v>
      </c>
      <c r="C33" s="297">
        <f>F30</f>
        <v>11000000</v>
      </c>
      <c r="D33" s="289"/>
      <c r="E33" s="289"/>
      <c r="F33" s="289"/>
      <c r="G33" s="289"/>
      <c r="H33" s="289"/>
      <c r="I33" s="289"/>
      <c r="J33" s="289"/>
      <c r="K33" s="289"/>
      <c r="L33" s="289"/>
      <c r="M33" s="291"/>
    </row>
    <row r="34" spans="2:13" x14ac:dyDescent="0.15">
      <c r="B34" s="287" t="s">
        <v>986</v>
      </c>
      <c r="C34" s="297">
        <f>G31</f>
        <v>2000000</v>
      </c>
      <c r="D34" s="289"/>
      <c r="E34" s="289"/>
      <c r="F34" s="289"/>
      <c r="G34" s="289"/>
      <c r="H34" s="289"/>
      <c r="I34" s="289"/>
      <c r="J34" s="289"/>
      <c r="K34" s="289"/>
      <c r="L34" s="289"/>
      <c r="M34" s="291"/>
    </row>
    <row r="35" spans="2:13" ht="11.4" thickBot="1" x14ac:dyDescent="0.2">
      <c r="B35" s="319" t="s">
        <v>1020</v>
      </c>
      <c r="C35" s="320">
        <f>SUM(C33:C34)</f>
        <v>13000000</v>
      </c>
      <c r="D35" s="321"/>
      <c r="E35" s="321"/>
      <c r="F35" s="321"/>
      <c r="G35" s="321"/>
      <c r="H35" s="321"/>
      <c r="I35" s="321"/>
      <c r="J35" s="321"/>
      <c r="K35" s="321"/>
      <c r="L35" s="321"/>
      <c r="M35" s="322"/>
    </row>
  </sheetData>
  <mergeCells count="8">
    <mergeCell ref="D28:E28"/>
    <mergeCell ref="F28:G28"/>
    <mergeCell ref="H28:J28"/>
    <mergeCell ref="K28:M28"/>
    <mergeCell ref="D8:E8"/>
    <mergeCell ref="F8:G8"/>
    <mergeCell ref="H8:J8"/>
    <mergeCell ref="K8:M8"/>
  </mergeCells>
  <phoneticPr fontId="7" type="noConversion"/>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23"/>
  <sheetViews>
    <sheetView showGridLines="0" zoomScale="115" zoomScaleNormal="115" workbookViewId="0">
      <selection activeCell="E22" sqref="E22"/>
    </sheetView>
  </sheetViews>
  <sheetFormatPr defaultRowHeight="10.8" x14ac:dyDescent="0.15"/>
  <cols>
    <col min="1" max="1" width="4.33203125" style="261" customWidth="1"/>
    <col min="2" max="4" width="16.33203125" style="261" customWidth="1"/>
    <col min="5" max="5" width="24.5546875" style="261" customWidth="1"/>
    <col min="6" max="6" width="13.44140625" style="261" customWidth="1"/>
    <col min="7" max="7" width="9.109375" style="261" bestFit="1" customWidth="1"/>
    <col min="8" max="16384" width="8.88671875" style="261"/>
  </cols>
  <sheetData>
    <row r="2" spans="2:8" x14ac:dyDescent="0.15">
      <c r="B2" s="260"/>
      <c r="C2" s="261" t="s">
        <v>961</v>
      </c>
    </row>
    <row r="3" spans="2:8" x14ac:dyDescent="0.15">
      <c r="B3" s="262"/>
      <c r="C3" s="261" t="s">
        <v>962</v>
      </c>
    </row>
    <row r="4" spans="2:8" x14ac:dyDescent="0.15">
      <c r="B4" s="263"/>
      <c r="C4" s="261" t="s">
        <v>963</v>
      </c>
    </row>
    <row r="7" spans="2:8" x14ac:dyDescent="0.15">
      <c r="B7" s="264" t="s">
        <v>975</v>
      </c>
      <c r="D7" s="280">
        <v>0.1</v>
      </c>
      <c r="E7" s="261" t="s">
        <v>978</v>
      </c>
    </row>
    <row r="8" spans="2:8" x14ac:dyDescent="0.15">
      <c r="B8" s="265" t="s">
        <v>964</v>
      </c>
      <c r="C8" s="265" t="s">
        <v>965</v>
      </c>
      <c r="D8" s="265" t="s">
        <v>981</v>
      </c>
    </row>
    <row r="9" spans="2:8" ht="11.4" x14ac:dyDescent="0.15">
      <c r="B9" s="265" t="s">
        <v>966</v>
      </c>
      <c r="C9" s="266">
        <v>100</v>
      </c>
      <c r="D9" s="267">
        <f>1*(1-D10)</f>
        <v>0.9</v>
      </c>
      <c r="E9" s="261" t="s">
        <v>974</v>
      </c>
      <c r="F9" s="268" t="s">
        <v>967</v>
      </c>
      <c r="G9" s="269">
        <v>200</v>
      </c>
      <c r="H9" s="261" t="s">
        <v>968</v>
      </c>
    </row>
    <row r="10" spans="2:8" ht="11.4" x14ac:dyDescent="0.15">
      <c r="B10" s="265" t="s">
        <v>977</v>
      </c>
      <c r="C10" s="270">
        <f>C9*D10/(1-D10)</f>
        <v>11.111111111111111</v>
      </c>
      <c r="D10" s="271">
        <f>D7</f>
        <v>0.1</v>
      </c>
      <c r="E10" s="261" t="str">
        <f>E7</f>
        <v>谈出来的我公司投后股比</v>
      </c>
      <c r="F10" s="268" t="s">
        <v>969</v>
      </c>
      <c r="G10" s="272">
        <f>G9*(D10/(1-D10))</f>
        <v>22.222222222222225</v>
      </c>
      <c r="H10" s="261" t="s">
        <v>970</v>
      </c>
    </row>
    <row r="11" spans="2:8" ht="11.4" x14ac:dyDescent="0.15">
      <c r="B11" s="265" t="s">
        <v>237</v>
      </c>
      <c r="C11" s="273">
        <f>SUM(C9:C10)</f>
        <v>111.11111111111111</v>
      </c>
      <c r="D11" s="274">
        <f>SUM(D9:D10)</f>
        <v>1</v>
      </c>
      <c r="F11" s="268" t="s">
        <v>973</v>
      </c>
      <c r="G11" s="272">
        <f>G9+G10</f>
        <v>222.22222222222223</v>
      </c>
    </row>
    <row r="14" spans="2:8" x14ac:dyDescent="0.15">
      <c r="B14" s="264" t="s">
        <v>976</v>
      </c>
      <c r="D14" s="279">
        <v>0.2</v>
      </c>
      <c r="E14" s="261" t="s">
        <v>980</v>
      </c>
    </row>
    <row r="16" spans="2:8" x14ac:dyDescent="0.15">
      <c r="B16" s="265" t="s">
        <v>964</v>
      </c>
      <c r="C16" s="265" t="s">
        <v>965</v>
      </c>
      <c r="D16" s="265" t="s">
        <v>981</v>
      </c>
    </row>
    <row r="17" spans="2:8" ht="11.4" x14ac:dyDescent="0.15">
      <c r="B17" s="265" t="s">
        <v>966</v>
      </c>
      <c r="C17" s="266">
        <f>C9</f>
        <v>100</v>
      </c>
      <c r="D17" s="267">
        <f>C17/$C$20</f>
        <v>0.8</v>
      </c>
      <c r="E17" s="261" t="s">
        <v>984</v>
      </c>
    </row>
    <row r="18" spans="2:8" ht="11.4" x14ac:dyDescent="0.15">
      <c r="B18" s="265" t="s">
        <v>971</v>
      </c>
      <c r="C18" s="266">
        <f>C10</f>
        <v>11.111111111111111</v>
      </c>
      <c r="D18" s="267">
        <f t="shared" ref="D18:D19" si="0">C18/$C$20</f>
        <v>8.8888888888888892E-2</v>
      </c>
      <c r="E18" s="261" t="s">
        <v>983</v>
      </c>
      <c r="F18" s="268" t="s">
        <v>967</v>
      </c>
      <c r="G18" s="269">
        <v>500</v>
      </c>
      <c r="H18" s="261" t="s">
        <v>968</v>
      </c>
    </row>
    <row r="19" spans="2:8" ht="11.4" x14ac:dyDescent="0.15">
      <c r="B19" s="265" t="s">
        <v>972</v>
      </c>
      <c r="C19" s="270">
        <f>(D14*C17+D14*C18-C18)/(1-D14)</f>
        <v>13.888888888888888</v>
      </c>
      <c r="D19" s="267">
        <f t="shared" si="0"/>
        <v>0.1111111111111111</v>
      </c>
      <c r="E19" s="261" t="s">
        <v>979</v>
      </c>
      <c r="F19" s="268" t="s">
        <v>969</v>
      </c>
      <c r="G19" s="272">
        <f>G18*D19/(1-D19)</f>
        <v>62.5</v>
      </c>
      <c r="H19" s="261" t="s">
        <v>982</v>
      </c>
    </row>
    <row r="20" spans="2:8" ht="11.4" x14ac:dyDescent="0.15">
      <c r="B20" s="265" t="s">
        <v>237</v>
      </c>
      <c r="C20" s="275">
        <f>SUM(C17:C19)</f>
        <v>125</v>
      </c>
      <c r="D20" s="276">
        <f>SUM(D17:D19)</f>
        <v>1</v>
      </c>
      <c r="F20" s="268" t="s">
        <v>973</v>
      </c>
      <c r="G20" s="272">
        <f>G18+G19</f>
        <v>562.5</v>
      </c>
    </row>
    <row r="22" spans="2:8" x14ac:dyDescent="0.15">
      <c r="B22" s="277"/>
    </row>
    <row r="23" spans="2:8" x14ac:dyDescent="0.15">
      <c r="B23" s="278"/>
    </row>
  </sheetData>
  <phoneticPr fontId="7" type="noConversion"/>
  <pageMargins left="0.7" right="0.7" top="0.75" bottom="0.75" header="0.3" footer="0.3"/>
  <pageSetup paperSize="9" orientation="portrait"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8"/>
  <sheetViews>
    <sheetView workbookViewId="0">
      <selection activeCell="H22" sqref="H22"/>
    </sheetView>
  </sheetViews>
  <sheetFormatPr defaultRowHeight="14.4" x14ac:dyDescent="0.25"/>
  <cols>
    <col min="1" max="1" width="4.6640625" style="230" customWidth="1"/>
    <col min="2" max="2" width="13" style="230" customWidth="1"/>
    <col min="3" max="5" width="13" style="229" customWidth="1"/>
    <col min="6" max="7" width="13" style="230" customWidth="1"/>
    <col min="8" max="16384" width="8.88671875" style="230"/>
  </cols>
  <sheetData>
    <row r="2" spans="2:6" x14ac:dyDescent="0.25">
      <c r="B2" s="231" t="s">
        <v>873</v>
      </c>
    </row>
    <row r="4" spans="2:6" s="229" customFormat="1" x14ac:dyDescent="0.25">
      <c r="B4" s="232"/>
      <c r="C4" s="232" t="s">
        <v>868</v>
      </c>
      <c r="D4" s="232" t="s">
        <v>869</v>
      </c>
      <c r="E4" s="232" t="s">
        <v>870</v>
      </c>
      <c r="F4" s="232" t="s">
        <v>871</v>
      </c>
    </row>
    <row r="5" spans="2:6" s="229" customFormat="1" x14ac:dyDescent="0.25">
      <c r="B5" s="232" t="s">
        <v>872</v>
      </c>
      <c r="C5" s="234">
        <v>1</v>
      </c>
      <c r="D5" s="234">
        <v>1.44</v>
      </c>
      <c r="E5" s="234">
        <v>2</v>
      </c>
      <c r="F5" s="233">
        <f>EXP(LN(D5/C5)/E5)-1</f>
        <v>0.19999999999999996</v>
      </c>
    </row>
    <row r="9" spans="2:6" x14ac:dyDescent="0.25">
      <c r="B9" s="231" t="s">
        <v>891</v>
      </c>
    </row>
    <row r="10" spans="2:6" x14ac:dyDescent="0.25">
      <c r="C10" s="236"/>
      <c r="F10" s="237"/>
    </row>
    <row r="11" spans="2:6" x14ac:dyDescent="0.25">
      <c r="B11" s="238" t="s">
        <v>899</v>
      </c>
    </row>
    <row r="12" spans="2:6" x14ac:dyDescent="0.25">
      <c r="B12" s="238"/>
      <c r="D12" s="240" t="s">
        <v>896</v>
      </c>
      <c r="E12" s="241" t="s">
        <v>895</v>
      </c>
      <c r="F12" s="241" t="s">
        <v>898</v>
      </c>
    </row>
    <row r="13" spans="2:6" x14ac:dyDescent="0.25">
      <c r="B13" s="238" t="s">
        <v>892</v>
      </c>
      <c r="D13" s="234">
        <v>100</v>
      </c>
      <c r="E13" s="239">
        <v>0.2</v>
      </c>
      <c r="F13" s="235">
        <f>(E13*D13-1)/(D13-1)</f>
        <v>0.19191919191919191</v>
      </c>
    </row>
    <row r="14" spans="2:6" x14ac:dyDescent="0.25">
      <c r="B14" s="238" t="s">
        <v>893</v>
      </c>
      <c r="D14" s="234">
        <v>2</v>
      </c>
      <c r="E14" s="239">
        <v>0.8</v>
      </c>
      <c r="F14" s="235">
        <f t="shared" ref="F14:F15" si="0">(E14*D14-1)/(D14-1)</f>
        <v>0.60000000000000009</v>
      </c>
    </row>
    <row r="15" spans="2:6" x14ac:dyDescent="0.25">
      <c r="B15" s="238" t="s">
        <v>894</v>
      </c>
      <c r="D15" s="234">
        <v>10</v>
      </c>
      <c r="E15" s="239">
        <v>0.08</v>
      </c>
      <c r="F15" s="235">
        <f t="shared" si="0"/>
        <v>-2.2222222222222216E-2</v>
      </c>
    </row>
    <row r="17" spans="2:5" x14ac:dyDescent="0.25">
      <c r="B17" s="238" t="s">
        <v>897</v>
      </c>
      <c r="D17" s="230"/>
      <c r="E17" s="230"/>
    </row>
    <row r="18" spans="2:5" x14ac:dyDescent="0.25">
      <c r="D18" s="230"/>
      <c r="E18" s="230"/>
    </row>
  </sheetData>
  <phoneticPr fontId="7"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F60"/>
  <sheetViews>
    <sheetView showGridLines="0" topLeftCell="A7" zoomScale="85" zoomScaleNormal="85" workbookViewId="0">
      <selection activeCell="D15" sqref="D15"/>
    </sheetView>
  </sheetViews>
  <sheetFormatPr defaultRowHeight="14.4" x14ac:dyDescent="0.25"/>
  <cols>
    <col min="1" max="1" width="2.88671875" style="175" customWidth="1"/>
    <col min="2" max="2" width="116.6640625" style="175" customWidth="1"/>
    <col min="3" max="6" width="19.5546875" style="175" customWidth="1"/>
    <col min="7" max="16384" width="8.88671875" style="175"/>
  </cols>
  <sheetData>
    <row r="2" ht="14.4" customHeight="1" x14ac:dyDescent="0.25"/>
    <row r="8" ht="14.4" customHeight="1" x14ac:dyDescent="0.25"/>
    <row r="15" ht="14.4" customHeight="1" x14ac:dyDescent="0.25"/>
    <row r="22" spans="2:6" x14ac:dyDescent="0.25">
      <c r="B22" s="176" t="s">
        <v>125</v>
      </c>
      <c r="C22" s="176" t="s">
        <v>336</v>
      </c>
      <c r="D22" s="176" t="s">
        <v>337</v>
      </c>
      <c r="E22" s="176" t="s">
        <v>337</v>
      </c>
      <c r="F22" s="176" t="s">
        <v>337</v>
      </c>
    </row>
    <row r="23" spans="2:6" ht="14.4" customHeight="1" x14ac:dyDescent="0.25">
      <c r="B23" s="177" t="s">
        <v>338</v>
      </c>
      <c r="C23" s="178"/>
      <c r="D23" s="178"/>
      <c r="E23" s="178"/>
      <c r="F23" s="178"/>
    </row>
    <row r="24" spans="2:6" x14ac:dyDescent="0.25">
      <c r="B24" s="178" t="s">
        <v>339</v>
      </c>
      <c r="C24" s="178"/>
      <c r="D24" s="178"/>
      <c r="E24" s="178"/>
      <c r="F24" s="178"/>
    </row>
    <row r="25" spans="2:6" x14ac:dyDescent="0.25">
      <c r="B25" s="178" t="s">
        <v>310</v>
      </c>
      <c r="C25" s="178"/>
      <c r="D25" s="178"/>
      <c r="E25" s="178"/>
      <c r="F25" s="178"/>
    </row>
    <row r="26" spans="2:6" x14ac:dyDescent="0.25">
      <c r="B26" s="178" t="s">
        <v>318</v>
      </c>
      <c r="C26" s="178"/>
      <c r="D26" s="178"/>
      <c r="E26" s="178"/>
      <c r="F26" s="178"/>
    </row>
    <row r="27" spans="2:6" x14ac:dyDescent="0.25">
      <c r="B27" s="178"/>
      <c r="C27" s="178"/>
      <c r="D27" s="178"/>
      <c r="E27" s="178"/>
      <c r="F27" s="178"/>
    </row>
    <row r="28" spans="2:6" ht="14.4" customHeight="1" x14ac:dyDescent="0.25">
      <c r="B28" s="177" t="s">
        <v>340</v>
      </c>
      <c r="C28" s="178"/>
      <c r="D28" s="178"/>
      <c r="E28" s="178"/>
      <c r="F28" s="178"/>
    </row>
    <row r="29" spans="2:6" x14ac:dyDescent="0.25">
      <c r="B29" s="179" t="s">
        <v>330</v>
      </c>
      <c r="C29" s="178"/>
      <c r="D29" s="178"/>
      <c r="E29" s="178"/>
      <c r="F29" s="178"/>
    </row>
    <row r="30" spans="2:6" x14ac:dyDescent="0.25">
      <c r="B30" s="178" t="s">
        <v>319</v>
      </c>
      <c r="C30" s="178"/>
      <c r="D30" s="178"/>
      <c r="E30" s="178"/>
      <c r="F30" s="178"/>
    </row>
    <row r="31" spans="2:6" x14ac:dyDescent="0.25">
      <c r="B31" s="178" t="s">
        <v>320</v>
      </c>
      <c r="C31" s="178"/>
      <c r="D31" s="178"/>
      <c r="E31" s="178"/>
      <c r="F31" s="178"/>
    </row>
    <row r="32" spans="2:6" x14ac:dyDescent="0.25">
      <c r="B32" s="178" t="s">
        <v>311</v>
      </c>
      <c r="C32" s="178"/>
      <c r="D32" s="178"/>
      <c r="E32" s="178"/>
      <c r="F32" s="178"/>
    </row>
    <row r="33" spans="2:6" x14ac:dyDescent="0.25">
      <c r="B33" s="178" t="s">
        <v>325</v>
      </c>
      <c r="C33" s="178"/>
      <c r="D33" s="178"/>
      <c r="E33" s="178"/>
      <c r="F33" s="178"/>
    </row>
    <row r="34" spans="2:6" x14ac:dyDescent="0.25">
      <c r="B34" s="178" t="s">
        <v>341</v>
      </c>
      <c r="C34" s="178"/>
      <c r="D34" s="178"/>
      <c r="E34" s="178"/>
      <c r="F34" s="178"/>
    </row>
    <row r="35" spans="2:6" x14ac:dyDescent="0.25">
      <c r="B35" s="178"/>
      <c r="C35" s="178"/>
      <c r="D35" s="178"/>
      <c r="E35" s="178"/>
      <c r="F35" s="178"/>
    </row>
    <row r="36" spans="2:6" x14ac:dyDescent="0.25">
      <c r="B36" s="177" t="s">
        <v>312</v>
      </c>
      <c r="C36" s="178"/>
      <c r="D36" s="178"/>
      <c r="E36" s="178"/>
      <c r="F36" s="178"/>
    </row>
    <row r="37" spans="2:6" x14ac:dyDescent="0.25">
      <c r="B37" s="178" t="s">
        <v>321</v>
      </c>
      <c r="C37" s="178"/>
      <c r="D37" s="178"/>
      <c r="E37" s="178"/>
      <c r="F37" s="178"/>
    </row>
    <row r="38" spans="2:6" x14ac:dyDescent="0.25">
      <c r="B38" s="178" t="s">
        <v>322</v>
      </c>
      <c r="C38" s="178"/>
      <c r="D38" s="178"/>
      <c r="E38" s="178"/>
      <c r="F38" s="178"/>
    </row>
    <row r="39" spans="2:6" x14ac:dyDescent="0.25">
      <c r="B39" s="178" t="s">
        <v>323</v>
      </c>
      <c r="C39" s="178"/>
      <c r="D39" s="178"/>
      <c r="E39" s="178"/>
      <c r="F39" s="178"/>
    </row>
    <row r="40" spans="2:6" x14ac:dyDescent="0.25">
      <c r="B40" s="178" t="s">
        <v>313</v>
      </c>
      <c r="C40" s="178"/>
      <c r="D40" s="178"/>
      <c r="E40" s="178"/>
      <c r="F40" s="178"/>
    </row>
    <row r="41" spans="2:6" x14ac:dyDescent="0.25">
      <c r="B41" s="178"/>
      <c r="C41" s="178"/>
      <c r="D41" s="178"/>
      <c r="E41" s="178"/>
      <c r="F41" s="178"/>
    </row>
    <row r="42" spans="2:6" x14ac:dyDescent="0.25">
      <c r="B42" s="177" t="s">
        <v>342</v>
      </c>
      <c r="C42" s="178"/>
      <c r="D42" s="178"/>
      <c r="E42" s="178"/>
      <c r="F42" s="178"/>
    </row>
    <row r="43" spans="2:6" x14ac:dyDescent="0.25">
      <c r="B43" s="178" t="s">
        <v>334</v>
      </c>
      <c r="C43" s="178"/>
      <c r="D43" s="178"/>
      <c r="E43" s="178"/>
      <c r="F43" s="178"/>
    </row>
    <row r="44" spans="2:6" x14ac:dyDescent="0.25">
      <c r="B44" s="178" t="s">
        <v>326</v>
      </c>
      <c r="C44" s="178"/>
      <c r="D44" s="178"/>
      <c r="E44" s="178"/>
      <c r="F44" s="178"/>
    </row>
    <row r="45" spans="2:6" x14ac:dyDescent="0.25">
      <c r="B45" s="178" t="s">
        <v>314</v>
      </c>
      <c r="C45" s="178"/>
      <c r="D45" s="178"/>
      <c r="E45" s="178"/>
      <c r="F45" s="178"/>
    </row>
    <row r="46" spans="2:6" x14ac:dyDescent="0.25">
      <c r="B46" s="178" t="s">
        <v>327</v>
      </c>
      <c r="C46" s="178"/>
      <c r="D46" s="178"/>
      <c r="E46" s="178"/>
      <c r="F46" s="178"/>
    </row>
    <row r="47" spans="2:6" x14ac:dyDescent="0.25">
      <c r="B47" s="178" t="s">
        <v>328</v>
      </c>
      <c r="C47" s="178"/>
      <c r="D47" s="178"/>
      <c r="E47" s="178"/>
      <c r="F47" s="178"/>
    </row>
    <row r="48" spans="2:6" x14ac:dyDescent="0.25">
      <c r="B48" s="178" t="s">
        <v>329</v>
      </c>
      <c r="C48" s="178"/>
      <c r="D48" s="178"/>
      <c r="E48" s="178"/>
      <c r="F48" s="178"/>
    </row>
    <row r="49" spans="2:6" x14ac:dyDescent="0.25">
      <c r="B49" s="178" t="s">
        <v>315</v>
      </c>
      <c r="C49" s="178"/>
      <c r="D49" s="178"/>
      <c r="E49" s="178"/>
      <c r="F49" s="178"/>
    </row>
    <row r="50" spans="2:6" x14ac:dyDescent="0.25">
      <c r="B50" s="178" t="s">
        <v>316</v>
      </c>
      <c r="C50" s="178"/>
      <c r="D50" s="178"/>
      <c r="E50" s="178"/>
      <c r="F50" s="178"/>
    </row>
    <row r="51" spans="2:6" x14ac:dyDescent="0.25">
      <c r="B51" s="178" t="s">
        <v>331</v>
      </c>
      <c r="C51" s="178"/>
      <c r="D51" s="178"/>
      <c r="E51" s="178"/>
      <c r="F51" s="178"/>
    </row>
    <row r="52" spans="2:6" x14ac:dyDescent="0.25">
      <c r="B52" s="178" t="s">
        <v>332</v>
      </c>
      <c r="C52" s="178"/>
      <c r="D52" s="178"/>
      <c r="E52" s="178"/>
      <c r="F52" s="178"/>
    </row>
    <row r="53" spans="2:6" x14ac:dyDescent="0.25">
      <c r="B53" s="178" t="s">
        <v>335</v>
      </c>
      <c r="C53" s="178"/>
      <c r="D53" s="178"/>
      <c r="E53" s="178"/>
      <c r="F53" s="178"/>
    </row>
    <row r="54" spans="2:6" x14ac:dyDescent="0.25">
      <c r="B54" s="178" t="s">
        <v>333</v>
      </c>
      <c r="C54" s="178"/>
      <c r="D54" s="178"/>
      <c r="E54" s="178"/>
      <c r="F54" s="178"/>
    </row>
    <row r="55" spans="2:6" x14ac:dyDescent="0.25">
      <c r="B55" s="178" t="s">
        <v>317</v>
      </c>
      <c r="C55" s="178"/>
      <c r="D55" s="178"/>
      <c r="E55" s="178"/>
      <c r="F55" s="178"/>
    </row>
    <row r="56" spans="2:6" x14ac:dyDescent="0.25">
      <c r="B56" s="178" t="s">
        <v>324</v>
      </c>
      <c r="C56" s="178"/>
      <c r="D56" s="178"/>
      <c r="E56" s="178"/>
      <c r="F56" s="178"/>
    </row>
    <row r="57" spans="2:6" x14ac:dyDescent="0.25">
      <c r="B57" s="178"/>
      <c r="C57" s="178"/>
      <c r="D57" s="178"/>
      <c r="E57" s="178"/>
      <c r="F57" s="178"/>
    </row>
    <row r="58" spans="2:6" x14ac:dyDescent="0.25">
      <c r="B58" s="177" t="s">
        <v>193</v>
      </c>
      <c r="C58" s="178"/>
      <c r="D58" s="178"/>
      <c r="E58" s="178"/>
      <c r="F58" s="178"/>
    </row>
    <row r="59" spans="2:6" x14ac:dyDescent="0.25">
      <c r="B59" s="178" t="s">
        <v>343</v>
      </c>
      <c r="C59" s="178"/>
      <c r="D59" s="178"/>
      <c r="E59" s="178"/>
      <c r="F59" s="178"/>
    </row>
    <row r="60" spans="2:6" x14ac:dyDescent="0.25">
      <c r="B60" s="178"/>
      <c r="C60" s="178"/>
      <c r="D60" s="178"/>
      <c r="E60" s="178"/>
      <c r="F60" s="178"/>
    </row>
  </sheetData>
  <phoneticPr fontId="7"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6"/>
  <sheetViews>
    <sheetView showGridLines="0" zoomScaleNormal="100" workbookViewId="0">
      <selection activeCell="M14" sqref="M14"/>
    </sheetView>
  </sheetViews>
  <sheetFormatPr defaultRowHeight="14.4" x14ac:dyDescent="0.25"/>
  <cols>
    <col min="1" max="1" width="16.21875" customWidth="1"/>
    <col min="2" max="4" width="11.88671875" customWidth="1"/>
    <col min="5" max="5" width="3.44140625" customWidth="1"/>
    <col min="6" max="6" width="13.6640625" customWidth="1"/>
    <col min="7" max="7" width="14.21875" customWidth="1"/>
    <col min="8" max="9" width="12.88671875" customWidth="1"/>
    <col min="10" max="10" width="2.21875" customWidth="1"/>
  </cols>
  <sheetData>
    <row r="1" spans="1:9" x14ac:dyDescent="0.25">
      <c r="A1" s="75" t="s">
        <v>685</v>
      </c>
      <c r="F1" s="75" t="s">
        <v>686</v>
      </c>
    </row>
    <row r="2" spans="1:9" x14ac:dyDescent="0.25">
      <c r="A2" s="63"/>
      <c r="B2" s="63" t="s">
        <v>172</v>
      </c>
      <c r="C2" s="63" t="s">
        <v>687</v>
      </c>
      <c r="D2" s="63" t="s">
        <v>688</v>
      </c>
      <c r="F2" s="76"/>
      <c r="G2" s="76" t="s">
        <v>104</v>
      </c>
      <c r="H2" s="76" t="s">
        <v>105</v>
      </c>
      <c r="I2" s="76" t="s">
        <v>106</v>
      </c>
    </row>
    <row r="3" spans="1:9" x14ac:dyDescent="0.25">
      <c r="A3" s="68" t="s">
        <v>128</v>
      </c>
      <c r="B3" s="82"/>
      <c r="C3" s="82"/>
      <c r="D3" s="82"/>
      <c r="F3" s="331" t="s">
        <v>107</v>
      </c>
      <c r="G3" s="77" t="s">
        <v>108</v>
      </c>
      <c r="H3" s="77"/>
      <c r="I3" s="77"/>
    </row>
    <row r="4" spans="1:9" x14ac:dyDescent="0.25">
      <c r="A4" s="68" t="s">
        <v>129</v>
      </c>
      <c r="B4" s="82"/>
      <c r="C4" s="81"/>
      <c r="D4" s="81"/>
      <c r="F4" s="332"/>
      <c r="G4" s="77" t="s">
        <v>684</v>
      </c>
      <c r="H4" s="77"/>
      <c r="I4" s="77"/>
    </row>
    <row r="5" spans="1:9" x14ac:dyDescent="0.25">
      <c r="A5" s="68" t="s">
        <v>126</v>
      </c>
      <c r="B5" s="71"/>
      <c r="C5" s="80"/>
      <c r="D5" s="80"/>
      <c r="F5" s="333" t="s">
        <v>109</v>
      </c>
      <c r="G5" s="77" t="s">
        <v>110</v>
      </c>
      <c r="H5" s="77"/>
      <c r="I5" s="77"/>
    </row>
    <row r="6" spans="1:9" x14ac:dyDescent="0.25">
      <c r="A6" s="68" t="s">
        <v>170</v>
      </c>
      <c r="B6" s="71"/>
      <c r="C6" s="81"/>
      <c r="D6" s="81"/>
      <c r="F6" s="333"/>
      <c r="G6" s="77" t="s">
        <v>111</v>
      </c>
      <c r="H6" s="77"/>
      <c r="I6" s="77"/>
    </row>
    <row r="7" spans="1:9" x14ac:dyDescent="0.25">
      <c r="A7" s="68" t="s">
        <v>127</v>
      </c>
      <c r="B7" s="71"/>
      <c r="C7" s="71"/>
      <c r="D7" s="71"/>
      <c r="F7" s="333"/>
      <c r="G7" s="77" t="s">
        <v>111</v>
      </c>
      <c r="H7" s="77"/>
      <c r="I7" s="77"/>
    </row>
    <row r="8" spans="1:9" x14ac:dyDescent="0.25">
      <c r="A8" s="68" t="s">
        <v>171</v>
      </c>
      <c r="B8" s="71"/>
      <c r="C8" s="71"/>
      <c r="D8" s="71"/>
      <c r="F8" s="333" t="s">
        <v>112</v>
      </c>
      <c r="G8" s="77" t="s">
        <v>114</v>
      </c>
      <c r="H8" s="77"/>
      <c r="I8" s="77"/>
    </row>
    <row r="9" spans="1:9" ht="14.4" customHeight="1" x14ac:dyDescent="0.25">
      <c r="A9" s="336"/>
      <c r="B9" s="337"/>
      <c r="C9" s="337"/>
      <c r="D9" s="337"/>
      <c r="F9" s="333"/>
      <c r="G9" s="77" t="s">
        <v>114</v>
      </c>
      <c r="H9" s="77"/>
      <c r="I9" s="77"/>
    </row>
    <row r="10" spans="1:9" x14ac:dyDescent="0.25">
      <c r="A10" s="337"/>
      <c r="B10" s="337"/>
      <c r="C10" s="337"/>
      <c r="D10" s="337"/>
      <c r="F10" s="333"/>
      <c r="G10" s="77" t="s">
        <v>113</v>
      </c>
      <c r="H10" s="77"/>
      <c r="I10" s="77"/>
    </row>
    <row r="11" spans="1:9" x14ac:dyDescent="0.25">
      <c r="A11" s="337"/>
      <c r="B11" s="337"/>
      <c r="C11" s="337"/>
      <c r="D11" s="337"/>
      <c r="F11" s="333"/>
      <c r="G11" s="77" t="s">
        <v>113</v>
      </c>
      <c r="H11" s="77"/>
      <c r="I11" s="77"/>
    </row>
    <row r="12" spans="1:9" x14ac:dyDescent="0.25">
      <c r="A12" s="337"/>
      <c r="B12" s="337"/>
      <c r="C12" s="337"/>
      <c r="D12" s="337"/>
      <c r="F12" s="333"/>
      <c r="G12" s="77" t="s">
        <v>114</v>
      </c>
      <c r="H12" s="77"/>
      <c r="I12" s="77"/>
    </row>
    <row r="13" spans="1:9" x14ac:dyDescent="0.25">
      <c r="A13" s="337"/>
      <c r="B13" s="337"/>
      <c r="C13" s="337"/>
      <c r="D13" s="337"/>
      <c r="F13" s="334" t="s">
        <v>115</v>
      </c>
      <c r="G13" s="77" t="s">
        <v>174</v>
      </c>
      <c r="H13" s="77"/>
      <c r="I13" s="77"/>
    </row>
    <row r="14" spans="1:9" x14ac:dyDescent="0.25">
      <c r="A14" s="337"/>
      <c r="B14" s="337"/>
      <c r="C14" s="337"/>
      <c r="D14" s="337"/>
      <c r="F14" s="335"/>
      <c r="G14" s="77" t="s">
        <v>173</v>
      </c>
      <c r="H14" s="77"/>
      <c r="I14" s="77"/>
    </row>
    <row r="15" spans="1:9" x14ac:dyDescent="0.25">
      <c r="F15" s="335"/>
      <c r="G15" s="77" t="s">
        <v>116</v>
      </c>
      <c r="H15" s="77"/>
      <c r="I15" s="77"/>
    </row>
    <row r="16" spans="1:9" x14ac:dyDescent="0.25">
      <c r="F16" s="335"/>
      <c r="G16" s="78" t="s">
        <v>117</v>
      </c>
      <c r="H16" s="78">
        <f>SUM(H3:H12)</f>
        <v>0</v>
      </c>
      <c r="I16" s="78">
        <f>SUM(I3:I12)</f>
        <v>0</v>
      </c>
    </row>
  </sheetData>
  <mergeCells count="5">
    <mergeCell ref="F3:F4"/>
    <mergeCell ref="F5:F7"/>
    <mergeCell ref="F8:F12"/>
    <mergeCell ref="F13:F16"/>
    <mergeCell ref="A9:D14"/>
  </mergeCells>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9"/>
  <sheetViews>
    <sheetView showGridLines="0" zoomScaleNormal="100" workbookViewId="0">
      <pane ySplit="2" topLeftCell="A3" activePane="bottomLeft" state="frozen"/>
      <selection activeCell="E1" sqref="E1"/>
      <selection pane="bottomLeft" activeCell="N16" sqref="N16"/>
    </sheetView>
  </sheetViews>
  <sheetFormatPr defaultRowHeight="10.8" x14ac:dyDescent="0.15"/>
  <cols>
    <col min="1" max="1" width="3.6640625" style="216" customWidth="1"/>
    <col min="2" max="2" width="7.6640625" style="211" customWidth="1"/>
    <col min="3" max="3" width="7.21875" style="211" customWidth="1"/>
    <col min="4" max="4" width="12" style="216" customWidth="1"/>
    <col min="5" max="6" width="9.109375" style="216" customWidth="1"/>
    <col min="7" max="7" width="5.6640625" style="216" customWidth="1"/>
    <col min="8" max="12" width="19.77734375" style="216" customWidth="1"/>
    <col min="13" max="13" width="18.44140625" style="216" customWidth="1"/>
    <col min="14" max="16384" width="8.88671875" style="216"/>
  </cols>
  <sheetData>
    <row r="2" spans="2:13" s="211" customFormat="1" x14ac:dyDescent="0.15">
      <c r="B2" s="210" t="s">
        <v>710</v>
      </c>
      <c r="C2" s="210" t="s">
        <v>711</v>
      </c>
      <c r="D2" s="210" t="s">
        <v>712</v>
      </c>
      <c r="E2" s="210" t="s">
        <v>713</v>
      </c>
      <c r="F2" s="210" t="s">
        <v>714</v>
      </c>
      <c r="G2" s="210" t="s">
        <v>715</v>
      </c>
      <c r="H2" s="210" t="s">
        <v>716</v>
      </c>
      <c r="I2" s="210" t="s">
        <v>717</v>
      </c>
      <c r="J2" s="210" t="s">
        <v>718</v>
      </c>
      <c r="K2" s="210" t="s">
        <v>719</v>
      </c>
      <c r="L2" s="210" t="s">
        <v>720</v>
      </c>
      <c r="M2" s="210" t="s">
        <v>721</v>
      </c>
    </row>
    <row r="3" spans="2:13" x14ac:dyDescent="0.15">
      <c r="B3" s="212"/>
      <c r="C3" s="212"/>
      <c r="D3" s="213"/>
      <c r="E3" s="214"/>
      <c r="F3" s="214"/>
      <c r="G3" s="215"/>
      <c r="H3" s="213"/>
      <c r="I3" s="213"/>
      <c r="J3" s="213"/>
      <c r="K3" s="213"/>
      <c r="L3" s="213"/>
      <c r="M3" s="213"/>
    </row>
    <row r="4" spans="2:13" x14ac:dyDescent="0.15">
      <c r="B4" s="212"/>
      <c r="C4" s="212"/>
      <c r="D4" s="213"/>
      <c r="E4" s="214"/>
      <c r="F4" s="214"/>
      <c r="G4" s="215"/>
      <c r="H4" s="213"/>
      <c r="I4" s="213"/>
      <c r="J4" s="213"/>
      <c r="K4" s="213"/>
      <c r="L4" s="213"/>
      <c r="M4" s="213"/>
    </row>
    <row r="5" spans="2:13" x14ac:dyDescent="0.15">
      <c r="B5" s="212"/>
      <c r="C5" s="212"/>
      <c r="D5" s="213"/>
      <c r="E5" s="214"/>
      <c r="F5" s="214"/>
      <c r="G5" s="215"/>
      <c r="H5" s="213"/>
      <c r="I5" s="213"/>
      <c r="J5" s="213"/>
      <c r="K5" s="213"/>
      <c r="L5" s="213"/>
      <c r="M5" s="213"/>
    </row>
    <row r="6" spans="2:13" x14ac:dyDescent="0.15">
      <c r="B6" s="212"/>
      <c r="C6" s="212"/>
      <c r="D6" s="213"/>
      <c r="E6" s="214"/>
      <c r="F6" s="214"/>
      <c r="G6" s="215"/>
      <c r="H6" s="213"/>
      <c r="I6" s="213"/>
      <c r="J6" s="213"/>
      <c r="K6" s="213"/>
      <c r="L6" s="213"/>
      <c r="M6" s="213"/>
    </row>
    <row r="7" spans="2:13" x14ac:dyDescent="0.15">
      <c r="B7" s="212"/>
      <c r="C7" s="212"/>
      <c r="D7" s="213"/>
      <c r="E7" s="214"/>
      <c r="F7" s="214"/>
      <c r="G7" s="215"/>
      <c r="H7" s="213"/>
      <c r="I7" s="213"/>
      <c r="J7" s="213"/>
      <c r="K7" s="213"/>
      <c r="L7" s="213"/>
      <c r="M7" s="213"/>
    </row>
    <row r="8" spans="2:13" x14ac:dyDescent="0.15">
      <c r="B8" s="212"/>
      <c r="C8" s="212"/>
      <c r="D8" s="213"/>
      <c r="E8" s="214"/>
      <c r="F8" s="214"/>
      <c r="G8" s="215"/>
      <c r="H8" s="213"/>
      <c r="I8" s="213"/>
      <c r="J8" s="213"/>
      <c r="K8" s="213"/>
      <c r="L8" s="213"/>
      <c r="M8" s="213"/>
    </row>
    <row r="9" spans="2:13" x14ac:dyDescent="0.15">
      <c r="B9" s="212"/>
      <c r="C9" s="212"/>
      <c r="D9" s="213"/>
      <c r="E9" s="214"/>
      <c r="F9" s="214"/>
      <c r="G9" s="215"/>
      <c r="H9" s="213"/>
      <c r="I9" s="213"/>
      <c r="J9" s="213"/>
      <c r="K9" s="213"/>
      <c r="L9" s="213"/>
      <c r="M9" s="213"/>
    </row>
    <row r="10" spans="2:13" x14ac:dyDescent="0.15">
      <c r="B10" s="212"/>
      <c r="C10" s="212"/>
      <c r="D10" s="213"/>
      <c r="E10" s="214"/>
      <c r="F10" s="214"/>
      <c r="G10" s="215"/>
      <c r="H10" s="213"/>
      <c r="I10" s="213"/>
      <c r="J10" s="213"/>
      <c r="K10" s="213"/>
      <c r="L10" s="213"/>
      <c r="M10" s="213"/>
    </row>
    <row r="11" spans="2:13" x14ac:dyDescent="0.15">
      <c r="B11" s="212"/>
      <c r="C11" s="212"/>
      <c r="D11" s="213"/>
      <c r="E11" s="214"/>
      <c r="F11" s="214"/>
      <c r="G11" s="215"/>
      <c r="H11" s="213"/>
      <c r="I11" s="213"/>
      <c r="J11" s="213"/>
      <c r="K11" s="213"/>
      <c r="L11" s="213"/>
      <c r="M11" s="213"/>
    </row>
    <row r="12" spans="2:13" x14ac:dyDescent="0.15">
      <c r="B12" s="212"/>
      <c r="C12" s="212"/>
      <c r="D12" s="213"/>
      <c r="E12" s="214"/>
      <c r="F12" s="214"/>
      <c r="G12" s="215"/>
      <c r="H12" s="213"/>
      <c r="I12" s="213"/>
      <c r="J12" s="213"/>
      <c r="K12" s="213"/>
      <c r="L12" s="213"/>
      <c r="M12" s="213"/>
    </row>
    <row r="13" spans="2:13" x14ac:dyDescent="0.15">
      <c r="B13" s="212"/>
      <c r="C13" s="212"/>
      <c r="D13" s="213"/>
      <c r="E13" s="214"/>
      <c r="F13" s="214"/>
      <c r="G13" s="215"/>
      <c r="H13" s="213"/>
      <c r="I13" s="213"/>
      <c r="J13" s="213"/>
      <c r="K13" s="213"/>
      <c r="L13" s="213"/>
      <c r="M13" s="213"/>
    </row>
    <row r="14" spans="2:13" x14ac:dyDescent="0.15">
      <c r="B14" s="212"/>
      <c r="C14" s="212"/>
      <c r="D14" s="213"/>
      <c r="E14" s="214"/>
      <c r="F14" s="214"/>
      <c r="G14" s="215"/>
      <c r="H14" s="213"/>
      <c r="I14" s="213"/>
      <c r="J14" s="213"/>
      <c r="K14" s="213"/>
      <c r="L14" s="213"/>
      <c r="M14" s="213"/>
    </row>
    <row r="15" spans="2:13" x14ac:dyDescent="0.15">
      <c r="B15" s="212"/>
      <c r="C15" s="212"/>
      <c r="D15" s="213"/>
      <c r="E15" s="214"/>
      <c r="F15" s="214"/>
      <c r="G15" s="215"/>
      <c r="H15" s="213"/>
      <c r="I15" s="213"/>
      <c r="J15" s="213"/>
      <c r="K15" s="213"/>
      <c r="L15" s="213"/>
      <c r="M15" s="213"/>
    </row>
    <row r="16" spans="2:13" x14ac:dyDescent="0.15">
      <c r="B16" s="212"/>
      <c r="C16" s="212"/>
      <c r="D16" s="213"/>
      <c r="E16" s="214"/>
      <c r="F16" s="214"/>
      <c r="G16" s="215"/>
      <c r="H16" s="213"/>
      <c r="I16" s="213"/>
      <c r="J16" s="213"/>
      <c r="K16" s="213"/>
      <c r="L16" s="213"/>
      <c r="M16" s="213"/>
    </row>
    <row r="17" spans="2:13" x14ac:dyDescent="0.15">
      <c r="B17" s="212"/>
      <c r="C17" s="212"/>
      <c r="D17" s="213"/>
      <c r="E17" s="214"/>
      <c r="F17" s="214"/>
      <c r="G17" s="215"/>
      <c r="H17" s="213"/>
      <c r="I17" s="213"/>
      <c r="J17" s="213"/>
      <c r="K17" s="213"/>
      <c r="L17" s="213"/>
      <c r="M17" s="213"/>
    </row>
    <row r="18" spans="2:13" x14ac:dyDescent="0.15">
      <c r="B18" s="212"/>
      <c r="C18" s="212"/>
      <c r="D18" s="213"/>
      <c r="E18" s="214"/>
      <c r="F18" s="214"/>
      <c r="G18" s="215"/>
      <c r="H18" s="213"/>
      <c r="I18" s="213"/>
      <c r="J18" s="213"/>
      <c r="K18" s="213"/>
      <c r="L18" s="213"/>
      <c r="M18" s="213"/>
    </row>
    <row r="19" spans="2:13" x14ac:dyDescent="0.15">
      <c r="B19" s="212"/>
      <c r="C19" s="212"/>
      <c r="D19" s="213"/>
      <c r="E19" s="214"/>
      <c r="F19" s="214"/>
      <c r="G19" s="215"/>
      <c r="H19" s="213"/>
      <c r="I19" s="213"/>
      <c r="J19" s="213"/>
      <c r="K19" s="213"/>
      <c r="L19" s="213"/>
      <c r="M19" s="213"/>
    </row>
    <row r="20" spans="2:13" x14ac:dyDescent="0.15">
      <c r="B20" s="212"/>
      <c r="C20" s="212"/>
      <c r="D20" s="213"/>
      <c r="E20" s="214"/>
      <c r="F20" s="214"/>
      <c r="G20" s="215"/>
      <c r="H20" s="213"/>
      <c r="I20" s="213"/>
      <c r="J20" s="213"/>
      <c r="K20" s="213"/>
      <c r="L20" s="213"/>
      <c r="M20" s="213"/>
    </row>
    <row r="21" spans="2:13" x14ac:dyDescent="0.15">
      <c r="B21" s="212"/>
      <c r="C21" s="212"/>
      <c r="D21" s="213"/>
      <c r="E21" s="214"/>
      <c r="F21" s="214"/>
      <c r="G21" s="215"/>
      <c r="H21" s="213"/>
      <c r="I21" s="213"/>
      <c r="J21" s="213"/>
      <c r="K21" s="213"/>
      <c r="L21" s="213"/>
      <c r="M21" s="213"/>
    </row>
    <row r="22" spans="2:13" x14ac:dyDescent="0.15">
      <c r="B22" s="212"/>
      <c r="C22" s="212"/>
      <c r="D22" s="213"/>
      <c r="E22" s="214"/>
      <c r="F22" s="214"/>
      <c r="G22" s="215"/>
      <c r="H22" s="213"/>
      <c r="I22" s="213"/>
      <c r="J22" s="213"/>
      <c r="K22" s="213"/>
      <c r="L22" s="213"/>
      <c r="M22" s="213"/>
    </row>
    <row r="28" spans="2:13" x14ac:dyDescent="0.15">
      <c r="B28" s="217"/>
    </row>
    <row r="29" spans="2:13" x14ac:dyDescent="0.15">
      <c r="B29" s="217"/>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7"/>
  <sheetViews>
    <sheetView showGridLines="0" zoomScale="85" zoomScaleNormal="85" workbookViewId="0">
      <selection activeCell="F21" sqref="F21:H21"/>
    </sheetView>
  </sheetViews>
  <sheetFormatPr defaultRowHeight="14.4" x14ac:dyDescent="0.25"/>
  <cols>
    <col min="1" max="1" width="8.88671875" style="97" customWidth="1"/>
    <col min="2" max="4" width="17.44140625" style="97" customWidth="1"/>
    <col min="5" max="7" width="15.21875" style="97" customWidth="1"/>
    <col min="8" max="8" width="14" style="97" customWidth="1"/>
    <col min="9" max="9" width="13" style="97" customWidth="1"/>
    <col min="10" max="11" width="17.44140625" style="97" customWidth="1"/>
    <col min="12" max="14" width="14.44140625" style="97" customWidth="1"/>
    <col min="15" max="15" width="18.77734375" style="97" customWidth="1"/>
    <col min="16" max="16" width="17.44140625" style="97" customWidth="1"/>
    <col min="17" max="16384" width="8.88671875" style="97"/>
  </cols>
  <sheetData>
    <row r="1" spans="1:16" x14ac:dyDescent="0.25">
      <c r="A1" s="83" t="s">
        <v>149</v>
      </c>
    </row>
    <row r="2" spans="1:16" x14ac:dyDescent="0.25">
      <c r="A2" s="206"/>
      <c r="B2" s="347" t="s">
        <v>52</v>
      </c>
      <c r="C2" s="347"/>
      <c r="D2" s="347"/>
      <c r="E2" s="348" t="s">
        <v>53</v>
      </c>
      <c r="F2" s="348"/>
      <c r="G2" s="348"/>
      <c r="H2" s="348"/>
      <c r="I2" s="348"/>
      <c r="J2" s="348"/>
      <c r="K2" s="348"/>
      <c r="L2" s="346" t="s">
        <v>54</v>
      </c>
      <c r="M2" s="346"/>
      <c r="N2" s="346"/>
      <c r="O2" s="346"/>
      <c r="P2" s="346"/>
    </row>
    <row r="3" spans="1:16" ht="34.799999999999997" customHeight="1" x14ac:dyDescent="0.25">
      <c r="A3" s="206"/>
      <c r="B3" s="206" t="s">
        <v>55</v>
      </c>
      <c r="C3" s="98" t="s">
        <v>190</v>
      </c>
      <c r="D3" s="98" t="s">
        <v>56</v>
      </c>
      <c r="E3" s="207" t="s">
        <v>118</v>
      </c>
      <c r="F3" s="207" t="s">
        <v>119</v>
      </c>
      <c r="G3" s="207" t="s">
        <v>120</v>
      </c>
      <c r="H3" s="207" t="s">
        <v>57</v>
      </c>
      <c r="I3" s="207" t="s">
        <v>121</v>
      </c>
      <c r="J3" s="207" t="s">
        <v>62</v>
      </c>
      <c r="K3" s="207" t="s">
        <v>58</v>
      </c>
      <c r="L3" s="99" t="s">
        <v>59</v>
      </c>
      <c r="M3" s="99" t="s">
        <v>63</v>
      </c>
      <c r="N3" s="99" t="s">
        <v>60</v>
      </c>
      <c r="O3" s="100" t="s">
        <v>191</v>
      </c>
      <c r="P3" s="99" t="s">
        <v>61</v>
      </c>
    </row>
    <row r="4" spans="1:16" ht="21.6" customHeight="1" x14ac:dyDescent="0.25">
      <c r="A4" s="206" t="s">
        <v>145</v>
      </c>
      <c r="B4" s="101"/>
      <c r="C4" s="101"/>
      <c r="D4" s="101"/>
      <c r="E4" s="102"/>
      <c r="F4" s="102"/>
      <c r="G4" s="102"/>
      <c r="H4" s="103"/>
      <c r="I4" s="103"/>
      <c r="J4" s="103"/>
      <c r="K4" s="101"/>
      <c r="L4" s="101"/>
      <c r="M4" s="101"/>
      <c r="N4" s="104"/>
      <c r="O4" s="101"/>
      <c r="P4" s="101"/>
    </row>
    <row r="5" spans="1:16" ht="21.6" customHeight="1" x14ac:dyDescent="0.25">
      <c r="A5" s="206" t="s">
        <v>146</v>
      </c>
      <c r="B5" s="101"/>
      <c r="C5" s="101"/>
      <c r="D5" s="101"/>
      <c r="E5" s="102"/>
      <c r="F5" s="102"/>
      <c r="G5" s="102"/>
      <c r="H5" s="103"/>
      <c r="I5" s="103"/>
      <c r="J5" s="103"/>
      <c r="K5" s="101"/>
      <c r="L5" s="101"/>
      <c r="M5" s="101"/>
      <c r="N5" s="104"/>
      <c r="O5" s="101"/>
      <c r="P5" s="101"/>
    </row>
    <row r="6" spans="1:16" ht="21.6" customHeight="1" x14ac:dyDescent="0.25">
      <c r="A6" s="206" t="s">
        <v>147</v>
      </c>
      <c r="B6" s="101"/>
      <c r="C6" s="101"/>
      <c r="D6" s="101"/>
      <c r="E6" s="102"/>
      <c r="F6" s="102"/>
      <c r="G6" s="102"/>
      <c r="H6" s="103"/>
      <c r="I6" s="103"/>
      <c r="J6" s="103"/>
      <c r="K6" s="101"/>
      <c r="L6" s="101"/>
      <c r="M6" s="101"/>
      <c r="N6" s="104"/>
      <c r="O6" s="101"/>
      <c r="P6" s="101"/>
    </row>
    <row r="7" spans="1:16" ht="21.6" customHeight="1" x14ac:dyDescent="0.25">
      <c r="A7" s="206" t="s">
        <v>148</v>
      </c>
      <c r="B7" s="101"/>
      <c r="C7" s="101"/>
      <c r="D7" s="101"/>
      <c r="E7" s="102"/>
      <c r="F7" s="102"/>
      <c r="G7" s="102"/>
      <c r="H7" s="103"/>
      <c r="I7" s="103"/>
      <c r="J7" s="103"/>
      <c r="K7" s="101"/>
      <c r="L7" s="101"/>
      <c r="M7" s="101"/>
      <c r="N7" s="104"/>
      <c r="O7" s="101"/>
      <c r="P7" s="101"/>
    </row>
    <row r="10" spans="1:16" ht="15" thickBot="1" x14ac:dyDescent="0.3">
      <c r="A10" s="83" t="s">
        <v>150</v>
      </c>
    </row>
    <row r="11" spans="1:16" x14ac:dyDescent="0.25">
      <c r="A11" s="105"/>
      <c r="B11" s="349" t="s">
        <v>233</v>
      </c>
      <c r="C11" s="350"/>
      <c r="D11" s="351"/>
      <c r="E11" s="352" t="s">
        <v>234</v>
      </c>
      <c r="F11" s="350"/>
      <c r="G11" s="351"/>
      <c r="H11" s="352" t="s">
        <v>229</v>
      </c>
      <c r="I11" s="350"/>
      <c r="J11" s="351"/>
    </row>
    <row r="12" spans="1:16" x14ac:dyDescent="0.25">
      <c r="A12" s="106" t="s">
        <v>235</v>
      </c>
      <c r="B12" s="41" t="s">
        <v>236</v>
      </c>
      <c r="C12" s="41" t="s">
        <v>687</v>
      </c>
      <c r="D12" s="41" t="s">
        <v>688</v>
      </c>
      <c r="E12" s="41" t="s">
        <v>236</v>
      </c>
      <c r="F12" s="41" t="s">
        <v>687</v>
      </c>
      <c r="G12" s="41" t="s">
        <v>688</v>
      </c>
      <c r="H12" s="41" t="s">
        <v>236</v>
      </c>
      <c r="I12" s="41" t="s">
        <v>687</v>
      </c>
      <c r="J12" s="41" t="s">
        <v>688</v>
      </c>
    </row>
    <row r="13" spans="1:16" x14ac:dyDescent="0.25">
      <c r="A13" s="107" t="s">
        <v>238</v>
      </c>
      <c r="B13" s="108"/>
      <c r="C13" s="108"/>
      <c r="D13" s="109"/>
      <c r="E13" s="110"/>
      <c r="F13" s="104"/>
      <c r="G13" s="111"/>
      <c r="H13" s="112"/>
      <c r="I13" s="113"/>
      <c r="J13" s="114"/>
    </row>
    <row r="14" spans="1:16" x14ac:dyDescent="0.25">
      <c r="A14" s="107" t="s">
        <v>239</v>
      </c>
      <c r="B14" s="108"/>
      <c r="C14" s="108"/>
      <c r="D14" s="109"/>
      <c r="E14" s="110"/>
      <c r="F14" s="104"/>
      <c r="G14" s="111"/>
      <c r="H14" s="112"/>
      <c r="I14" s="113"/>
      <c r="J14" s="114"/>
    </row>
    <row r="15" spans="1:16" x14ac:dyDescent="0.25">
      <c r="A15" s="107" t="s">
        <v>240</v>
      </c>
      <c r="B15" s="108"/>
      <c r="C15" s="108"/>
      <c r="D15" s="109"/>
      <c r="E15" s="110"/>
      <c r="F15" s="104"/>
      <c r="G15" s="111"/>
      <c r="H15" s="112"/>
      <c r="I15" s="113"/>
      <c r="J15" s="114"/>
    </row>
    <row r="16" spans="1:16" x14ac:dyDescent="0.25">
      <c r="A16" s="107" t="s">
        <v>241</v>
      </c>
      <c r="B16" s="108"/>
      <c r="C16" s="108"/>
      <c r="D16" s="109"/>
      <c r="E16" s="110"/>
      <c r="F16" s="104"/>
      <c r="G16" s="111"/>
      <c r="H16" s="112"/>
      <c r="I16" s="113"/>
      <c r="J16" s="114"/>
    </row>
    <row r="17" spans="1:10" ht="15" thickBot="1" x14ac:dyDescent="0.3">
      <c r="A17" s="115" t="s">
        <v>237</v>
      </c>
      <c r="B17" s="116"/>
      <c r="C17" s="116"/>
      <c r="D17" s="117"/>
      <c r="E17" s="118"/>
      <c r="F17" s="119"/>
      <c r="G17" s="120"/>
      <c r="H17" s="121"/>
      <c r="I17" s="122"/>
      <c r="J17" s="123"/>
    </row>
    <row r="20" spans="1:10" ht="15" thickBot="1" x14ac:dyDescent="0.3">
      <c r="A20" s="83" t="s">
        <v>192</v>
      </c>
    </row>
    <row r="21" spans="1:10" x14ac:dyDescent="0.25">
      <c r="A21" s="338" t="s">
        <v>124</v>
      </c>
      <c r="B21" s="339"/>
      <c r="C21" s="340"/>
      <c r="D21" s="341" t="s">
        <v>123</v>
      </c>
      <c r="E21" s="342"/>
      <c r="F21" s="343" t="s">
        <v>122</v>
      </c>
      <c r="G21" s="344"/>
      <c r="H21" s="345"/>
    </row>
    <row r="22" spans="1:10" x14ac:dyDescent="0.25">
      <c r="A22" s="124" t="s">
        <v>64</v>
      </c>
      <c r="B22" s="125" t="s">
        <v>65</v>
      </c>
      <c r="C22" s="126" t="s">
        <v>66</v>
      </c>
      <c r="D22" s="127" t="s">
        <v>64</v>
      </c>
      <c r="E22" s="128" t="s">
        <v>64</v>
      </c>
      <c r="F22" s="129" t="s">
        <v>65</v>
      </c>
      <c r="G22" s="129" t="s">
        <v>65</v>
      </c>
      <c r="H22" s="130" t="s">
        <v>64</v>
      </c>
    </row>
    <row r="23" spans="1:10" x14ac:dyDescent="0.25">
      <c r="A23" s="131"/>
      <c r="B23" s="101"/>
      <c r="C23" s="132"/>
      <c r="D23" s="131"/>
      <c r="E23" s="132"/>
      <c r="F23" s="131"/>
      <c r="G23" s="101"/>
      <c r="H23" s="132"/>
    </row>
    <row r="24" spans="1:10" x14ac:dyDescent="0.25">
      <c r="A24" s="131"/>
      <c r="B24" s="101"/>
      <c r="C24" s="132"/>
      <c r="D24" s="131"/>
      <c r="E24" s="132"/>
      <c r="F24" s="131"/>
      <c r="G24" s="101"/>
      <c r="H24" s="132"/>
    </row>
    <row r="25" spans="1:10" x14ac:dyDescent="0.25">
      <c r="A25" s="131"/>
      <c r="B25" s="101"/>
      <c r="C25" s="132"/>
      <c r="D25" s="131"/>
      <c r="E25" s="132"/>
      <c r="F25" s="131"/>
      <c r="G25" s="101"/>
      <c r="H25" s="132"/>
    </row>
    <row r="26" spans="1:10" x14ac:dyDescent="0.25">
      <c r="A26" s="131"/>
      <c r="B26" s="101"/>
      <c r="C26" s="132"/>
      <c r="D26" s="131"/>
      <c r="E26" s="132"/>
      <c r="F26" s="131"/>
      <c r="G26" s="101"/>
      <c r="H26" s="132"/>
    </row>
    <row r="27" spans="1:10" ht="15" thickBot="1" x14ac:dyDescent="0.3">
      <c r="A27" s="133"/>
      <c r="B27" s="134"/>
      <c r="C27" s="135"/>
      <c r="D27" s="133"/>
      <c r="E27" s="135"/>
      <c r="F27" s="133"/>
      <c r="G27" s="134"/>
      <c r="H27" s="135"/>
    </row>
  </sheetData>
  <mergeCells count="9">
    <mergeCell ref="A21:C21"/>
    <mergeCell ref="D21:E21"/>
    <mergeCell ref="F21:H21"/>
    <mergeCell ref="L2:P2"/>
    <mergeCell ref="B2:D2"/>
    <mergeCell ref="E2:K2"/>
    <mergeCell ref="B11:D11"/>
    <mergeCell ref="E11:G11"/>
    <mergeCell ref="H11:J11"/>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E97"/>
  <sheetViews>
    <sheetView zoomScale="85" zoomScaleNormal="85" workbookViewId="0">
      <selection activeCell="K27" sqref="K27"/>
    </sheetView>
  </sheetViews>
  <sheetFormatPr defaultRowHeight="14.4" x14ac:dyDescent="0.25"/>
  <cols>
    <col min="1" max="1" width="2.88671875" style="175" customWidth="1"/>
    <col min="2" max="2" width="116.6640625" style="175" customWidth="1"/>
    <col min="3" max="5" width="19.5546875" style="175" customWidth="1"/>
    <col min="6" max="16384" width="8.88671875" style="175"/>
  </cols>
  <sheetData>
    <row r="2" spans="2:5" ht="14.4" customHeight="1" x14ac:dyDescent="0.25"/>
    <row r="8" spans="2:5" ht="14.4" customHeight="1" x14ac:dyDescent="0.25"/>
    <row r="13" spans="2:5" x14ac:dyDescent="0.25">
      <c r="B13" s="176" t="s">
        <v>418</v>
      </c>
      <c r="C13" s="176" t="s">
        <v>419</v>
      </c>
      <c r="D13" s="176" t="s">
        <v>420</v>
      </c>
      <c r="E13" s="176" t="s">
        <v>421</v>
      </c>
    </row>
    <row r="14" spans="2:5" ht="14.4" customHeight="1" x14ac:dyDescent="0.25">
      <c r="B14" s="177" t="s">
        <v>422</v>
      </c>
      <c r="C14" s="178"/>
      <c r="D14" s="178"/>
      <c r="E14" s="178"/>
    </row>
    <row r="15" spans="2:5" ht="14.4" customHeight="1" x14ac:dyDescent="0.25">
      <c r="B15" s="178" t="s">
        <v>423</v>
      </c>
      <c r="C15" s="178"/>
      <c r="D15" s="178"/>
      <c r="E15" s="178"/>
    </row>
    <row r="16" spans="2:5" ht="14.4" customHeight="1" x14ac:dyDescent="0.25">
      <c r="B16" s="178" t="s">
        <v>424</v>
      </c>
      <c r="C16" s="178"/>
      <c r="D16" s="178"/>
      <c r="E16" s="178"/>
    </row>
    <row r="17" spans="2:5" ht="14.4" customHeight="1" x14ac:dyDescent="0.25">
      <c r="B17" s="178" t="s">
        <v>433</v>
      </c>
      <c r="C17" s="178"/>
      <c r="D17" s="178"/>
      <c r="E17" s="178"/>
    </row>
    <row r="18" spans="2:5" ht="14.4" customHeight="1" x14ac:dyDescent="0.25">
      <c r="B18" s="178"/>
      <c r="C18" s="178"/>
      <c r="D18" s="178"/>
      <c r="E18" s="178"/>
    </row>
    <row r="19" spans="2:5" ht="14.4" customHeight="1" x14ac:dyDescent="0.25">
      <c r="B19" s="177" t="s">
        <v>439</v>
      </c>
      <c r="C19" s="178"/>
      <c r="D19" s="178"/>
      <c r="E19" s="178"/>
    </row>
    <row r="20" spans="2:5" ht="14.4" customHeight="1" x14ac:dyDescent="0.25">
      <c r="B20" s="178" t="s">
        <v>459</v>
      </c>
      <c r="C20" s="178"/>
      <c r="D20" s="178"/>
      <c r="E20" s="178"/>
    </row>
    <row r="21" spans="2:5" ht="14.4" customHeight="1" x14ac:dyDescent="0.25">
      <c r="B21" s="178" t="s">
        <v>429</v>
      </c>
      <c r="C21" s="178"/>
      <c r="D21" s="178"/>
      <c r="E21" s="178"/>
    </row>
    <row r="22" spans="2:5" ht="14.4" customHeight="1" x14ac:dyDescent="0.25">
      <c r="B22" s="178" t="s">
        <v>427</v>
      </c>
      <c r="C22" s="178"/>
      <c r="D22" s="178"/>
      <c r="E22" s="178"/>
    </row>
    <row r="23" spans="2:5" ht="14.4" customHeight="1" x14ac:dyDescent="0.25">
      <c r="B23" s="178" t="s">
        <v>428</v>
      </c>
      <c r="C23" s="178"/>
      <c r="D23" s="178"/>
      <c r="E23" s="178"/>
    </row>
    <row r="24" spans="2:5" ht="14.4" customHeight="1" x14ac:dyDescent="0.25">
      <c r="B24" s="178" t="s">
        <v>460</v>
      </c>
      <c r="C24" s="178"/>
      <c r="D24" s="178"/>
      <c r="E24" s="178"/>
    </row>
    <row r="25" spans="2:5" ht="14.4" customHeight="1" x14ac:dyDescent="0.25">
      <c r="B25" s="178"/>
      <c r="C25" s="178"/>
      <c r="D25" s="178"/>
      <c r="E25" s="178"/>
    </row>
    <row r="26" spans="2:5" ht="14.4" customHeight="1" x14ac:dyDescent="0.25">
      <c r="B26" s="177" t="s">
        <v>426</v>
      </c>
      <c r="C26" s="178"/>
      <c r="D26" s="178"/>
      <c r="E26" s="178"/>
    </row>
    <row r="27" spans="2:5" ht="14.4" customHeight="1" x14ac:dyDescent="0.25">
      <c r="B27" s="178" t="s">
        <v>432</v>
      </c>
      <c r="C27" s="178"/>
      <c r="D27" s="178"/>
      <c r="E27" s="178"/>
    </row>
    <row r="28" spans="2:5" ht="14.4" customHeight="1" x14ac:dyDescent="0.25">
      <c r="B28" s="178" t="s">
        <v>430</v>
      </c>
      <c r="C28" s="178"/>
      <c r="D28" s="178"/>
      <c r="E28" s="178"/>
    </row>
    <row r="29" spans="2:5" ht="14.4" customHeight="1" x14ac:dyDescent="0.25">
      <c r="B29" s="178" t="s">
        <v>431</v>
      </c>
      <c r="C29" s="178"/>
      <c r="D29" s="178"/>
      <c r="E29" s="178"/>
    </row>
    <row r="30" spans="2:5" ht="14.4" customHeight="1" x14ac:dyDescent="0.25">
      <c r="B30" s="178"/>
      <c r="C30" s="178"/>
      <c r="D30" s="178"/>
      <c r="E30" s="178"/>
    </row>
    <row r="31" spans="2:5" ht="14.4" customHeight="1" x14ac:dyDescent="0.25">
      <c r="B31" s="177" t="s">
        <v>425</v>
      </c>
      <c r="C31" s="178"/>
      <c r="D31" s="178"/>
      <c r="E31" s="178"/>
    </row>
    <row r="32" spans="2:5" ht="14.4" customHeight="1" x14ac:dyDescent="0.25">
      <c r="B32" s="178" t="s">
        <v>435</v>
      </c>
      <c r="C32" s="178"/>
      <c r="D32" s="178"/>
      <c r="E32" s="178"/>
    </row>
    <row r="33" spans="2:5" ht="14.4" customHeight="1" x14ac:dyDescent="0.25">
      <c r="B33" s="178" t="s">
        <v>434</v>
      </c>
      <c r="C33" s="178"/>
      <c r="D33" s="178"/>
      <c r="E33" s="178"/>
    </row>
    <row r="34" spans="2:5" x14ac:dyDescent="0.25">
      <c r="B34" s="178"/>
      <c r="C34" s="178"/>
      <c r="D34" s="178"/>
      <c r="E34" s="178"/>
    </row>
    <row r="50" spans="2:5" x14ac:dyDescent="0.25">
      <c r="B50" s="176" t="s">
        <v>436</v>
      </c>
      <c r="C50" s="176" t="s">
        <v>448</v>
      </c>
      <c r="D50" s="176" t="s">
        <v>449</v>
      </c>
      <c r="E50" s="176" t="s">
        <v>450</v>
      </c>
    </row>
    <row r="51" spans="2:5" ht="14.4" customHeight="1" x14ac:dyDescent="0.25">
      <c r="B51" s="177" t="s">
        <v>437</v>
      </c>
      <c r="C51" s="178"/>
      <c r="D51" s="178"/>
      <c r="E51" s="178"/>
    </row>
    <row r="52" spans="2:5" ht="14.4" customHeight="1" x14ac:dyDescent="0.25">
      <c r="B52" s="178" t="s">
        <v>438</v>
      </c>
      <c r="C52" s="178"/>
      <c r="D52" s="178"/>
      <c r="E52" s="178"/>
    </row>
    <row r="53" spans="2:5" ht="14.4" customHeight="1" x14ac:dyDescent="0.25">
      <c r="B53" s="178" t="s">
        <v>424</v>
      </c>
      <c r="C53" s="178"/>
      <c r="D53" s="178"/>
      <c r="E53" s="178"/>
    </row>
    <row r="54" spans="2:5" ht="14.4" customHeight="1" x14ac:dyDescent="0.25">
      <c r="B54" s="178" t="s">
        <v>433</v>
      </c>
      <c r="C54" s="178"/>
      <c r="D54" s="178"/>
      <c r="E54" s="178"/>
    </row>
    <row r="55" spans="2:5" ht="14.4" customHeight="1" x14ac:dyDescent="0.25">
      <c r="B55" s="178"/>
      <c r="C55" s="178"/>
      <c r="D55" s="178"/>
      <c r="E55" s="178"/>
    </row>
    <row r="56" spans="2:5" ht="14.4" customHeight="1" x14ac:dyDescent="0.25">
      <c r="B56" s="177" t="s">
        <v>451</v>
      </c>
      <c r="C56" s="178"/>
      <c r="D56" s="178"/>
      <c r="E56" s="178"/>
    </row>
    <row r="57" spans="2:5" ht="14.4" customHeight="1" x14ac:dyDescent="0.25">
      <c r="B57" s="178" t="s">
        <v>441</v>
      </c>
      <c r="C57" s="178"/>
      <c r="D57" s="178"/>
      <c r="E57" s="178"/>
    </row>
    <row r="58" spans="2:5" ht="14.4" customHeight="1" x14ac:dyDescent="0.25">
      <c r="B58" s="178" t="s">
        <v>440</v>
      </c>
      <c r="C58" s="178"/>
      <c r="D58" s="178"/>
      <c r="E58" s="178"/>
    </row>
    <row r="59" spans="2:5" ht="14.4" customHeight="1" x14ac:dyDescent="0.25">
      <c r="B59" s="178" t="s">
        <v>428</v>
      </c>
      <c r="C59" s="178"/>
      <c r="D59" s="178"/>
      <c r="E59" s="178"/>
    </row>
    <row r="60" spans="2:5" ht="14.4" customHeight="1" x14ac:dyDescent="0.25">
      <c r="B60" s="178"/>
      <c r="C60" s="178"/>
      <c r="D60" s="178"/>
      <c r="E60" s="178"/>
    </row>
    <row r="61" spans="2:5" ht="14.4" customHeight="1" x14ac:dyDescent="0.25">
      <c r="B61" s="177" t="s">
        <v>442</v>
      </c>
      <c r="C61" s="178"/>
      <c r="D61" s="178"/>
      <c r="E61" s="178"/>
    </row>
    <row r="62" spans="2:5" ht="14.4" customHeight="1" x14ac:dyDescent="0.25">
      <c r="B62" s="178" t="s">
        <v>444</v>
      </c>
      <c r="C62" s="178"/>
      <c r="D62" s="178"/>
      <c r="E62" s="178"/>
    </row>
    <row r="63" spans="2:5" ht="14.4" customHeight="1" x14ac:dyDescent="0.25">
      <c r="B63" s="178" t="s">
        <v>443</v>
      </c>
      <c r="C63" s="178"/>
      <c r="D63" s="178"/>
      <c r="E63" s="178"/>
    </row>
    <row r="64" spans="2:5" ht="14.4" customHeight="1" x14ac:dyDescent="0.25">
      <c r="B64" s="178" t="s">
        <v>445</v>
      </c>
      <c r="C64" s="178"/>
      <c r="D64" s="178"/>
      <c r="E64" s="178"/>
    </row>
    <row r="65" spans="2:5" ht="14.4" customHeight="1" x14ac:dyDescent="0.25">
      <c r="B65" s="178"/>
      <c r="C65" s="178"/>
      <c r="D65" s="178"/>
      <c r="E65" s="178"/>
    </row>
    <row r="66" spans="2:5" ht="14.4" customHeight="1" x14ac:dyDescent="0.25">
      <c r="B66" s="177" t="s">
        <v>425</v>
      </c>
      <c r="C66" s="178"/>
      <c r="D66" s="178"/>
      <c r="E66" s="178"/>
    </row>
    <row r="67" spans="2:5" ht="14.4" customHeight="1" x14ac:dyDescent="0.25">
      <c r="B67" s="178" t="s">
        <v>446</v>
      </c>
      <c r="C67" s="178"/>
      <c r="D67" s="178"/>
      <c r="E67" s="178"/>
    </row>
    <row r="68" spans="2:5" ht="14.4" customHeight="1" x14ac:dyDescent="0.25">
      <c r="B68" s="178" t="s">
        <v>447</v>
      </c>
      <c r="C68" s="178"/>
      <c r="D68" s="178"/>
      <c r="E68" s="178"/>
    </row>
    <row r="69" spans="2:5" x14ac:dyDescent="0.25">
      <c r="B69" s="178"/>
      <c r="C69" s="178"/>
      <c r="D69" s="178"/>
      <c r="E69" s="178"/>
    </row>
    <row r="76" spans="2:5" x14ac:dyDescent="0.25">
      <c r="B76" s="191"/>
    </row>
    <row r="77" spans="2:5" x14ac:dyDescent="0.25">
      <c r="B77" s="191"/>
    </row>
    <row r="78" spans="2:5" x14ac:dyDescent="0.25">
      <c r="B78" s="191"/>
    </row>
    <row r="79" spans="2:5" x14ac:dyDescent="0.25">
      <c r="B79" s="191"/>
    </row>
    <row r="80" spans="2:5" x14ac:dyDescent="0.25">
      <c r="B80" s="191"/>
    </row>
    <row r="82" spans="2:5" x14ac:dyDescent="0.25">
      <c r="B82" s="176" t="s">
        <v>457</v>
      </c>
      <c r="C82" s="176" t="s">
        <v>454</v>
      </c>
      <c r="D82" s="176" t="s">
        <v>455</v>
      </c>
      <c r="E82" s="176" t="s">
        <v>456</v>
      </c>
    </row>
    <row r="83" spans="2:5" ht="14.4" customHeight="1" x14ac:dyDescent="0.25">
      <c r="B83" s="177" t="s">
        <v>453</v>
      </c>
      <c r="C83" s="178"/>
      <c r="D83" s="178"/>
      <c r="E83" s="178"/>
    </row>
    <row r="84" spans="2:5" ht="14.4" customHeight="1" x14ac:dyDescent="0.25">
      <c r="B84" s="178" t="s">
        <v>458</v>
      </c>
      <c r="C84" s="178"/>
      <c r="D84" s="178"/>
      <c r="E84" s="178"/>
    </row>
    <row r="85" spans="2:5" ht="14.4" customHeight="1" x14ac:dyDescent="0.25">
      <c r="B85" s="178"/>
      <c r="C85" s="178"/>
      <c r="D85" s="178"/>
      <c r="E85" s="178"/>
    </row>
    <row r="86" spans="2:5" ht="14.4" customHeight="1" x14ac:dyDescent="0.25">
      <c r="B86" s="177" t="s">
        <v>452</v>
      </c>
      <c r="C86" s="178"/>
      <c r="D86" s="178"/>
      <c r="E86" s="178"/>
    </row>
    <row r="87" spans="2:5" ht="14.4" customHeight="1" x14ac:dyDescent="0.25">
      <c r="B87" s="179" t="s">
        <v>461</v>
      </c>
      <c r="C87" s="178"/>
      <c r="D87" s="178"/>
      <c r="E87" s="178"/>
    </row>
    <row r="88" spans="2:5" ht="14.4" customHeight="1" x14ac:dyDescent="0.25">
      <c r="B88" s="178" t="s">
        <v>462</v>
      </c>
      <c r="C88" s="178"/>
      <c r="D88" s="178"/>
      <c r="E88" s="178"/>
    </row>
    <row r="89" spans="2:5" ht="14.4" customHeight="1" x14ac:dyDescent="0.25">
      <c r="B89" s="178" t="s">
        <v>463</v>
      </c>
      <c r="C89" s="178"/>
      <c r="D89" s="178"/>
      <c r="E89" s="178"/>
    </row>
    <row r="90" spans="2:5" ht="14.4" customHeight="1" x14ac:dyDescent="0.25">
      <c r="B90" s="178" t="s">
        <v>464</v>
      </c>
      <c r="C90" s="178"/>
      <c r="D90" s="178"/>
      <c r="E90" s="178"/>
    </row>
    <row r="91" spans="2:5" ht="14.4" customHeight="1" x14ac:dyDescent="0.25">
      <c r="B91" s="178" t="s">
        <v>465</v>
      </c>
      <c r="C91" s="178"/>
      <c r="D91" s="178"/>
      <c r="E91" s="178"/>
    </row>
    <row r="92" spans="2:5" ht="14.4" customHeight="1" x14ac:dyDescent="0.25">
      <c r="B92" s="178"/>
      <c r="C92" s="178"/>
      <c r="D92" s="178"/>
      <c r="E92" s="178"/>
    </row>
    <row r="97" spans="2:2" x14ac:dyDescent="0.25">
      <c r="B97" s="192" t="s">
        <v>473</v>
      </c>
    </row>
  </sheetData>
  <phoneticPr fontId="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P254"/>
  <sheetViews>
    <sheetView showGridLines="0" topLeftCell="A232" zoomScaleNormal="100" workbookViewId="0">
      <selection activeCell="N242" sqref="N242"/>
    </sheetView>
  </sheetViews>
  <sheetFormatPr defaultRowHeight="14.4" x14ac:dyDescent="0.25"/>
  <cols>
    <col min="1" max="1" width="6.5546875" customWidth="1"/>
    <col min="2" max="2" width="30.109375" customWidth="1"/>
    <col min="3" max="14" width="10.77734375" customWidth="1"/>
  </cols>
  <sheetData>
    <row r="2" spans="2:2" x14ac:dyDescent="0.25">
      <c r="B2" s="95" t="s">
        <v>411</v>
      </c>
    </row>
    <row r="22" spans="1:14" x14ac:dyDescent="0.25">
      <c r="B22" s="95" t="s">
        <v>360</v>
      </c>
    </row>
    <row r="24" spans="1:14" x14ac:dyDescent="0.25">
      <c r="B24" s="95" t="s">
        <v>358</v>
      </c>
      <c r="C24" s="89" t="s">
        <v>295</v>
      </c>
      <c r="D24" s="89" t="s">
        <v>296</v>
      </c>
      <c r="E24" s="89" t="s">
        <v>297</v>
      </c>
      <c r="F24" s="89" t="s">
        <v>298</v>
      </c>
      <c r="G24" s="89" t="s">
        <v>299</v>
      </c>
      <c r="H24" s="89" t="s">
        <v>300</v>
      </c>
      <c r="I24" s="89" t="s">
        <v>301</v>
      </c>
      <c r="J24" s="89" t="s">
        <v>302</v>
      </c>
      <c r="K24" s="89" t="s">
        <v>303</v>
      </c>
      <c r="L24" s="89" t="s">
        <v>304</v>
      </c>
      <c r="M24" s="89" t="s">
        <v>305</v>
      </c>
      <c r="N24" s="89" t="s">
        <v>306</v>
      </c>
    </row>
    <row r="25" spans="1:14" x14ac:dyDescent="0.25">
      <c r="A25" s="185" t="s">
        <v>357</v>
      </c>
      <c r="B25" s="183" t="s">
        <v>361</v>
      </c>
      <c r="C25" s="92">
        <v>10000</v>
      </c>
      <c r="D25" s="92">
        <v>12000</v>
      </c>
      <c r="E25" s="92">
        <v>14000</v>
      </c>
      <c r="F25" s="92">
        <v>16000</v>
      </c>
      <c r="G25" s="92">
        <v>18000</v>
      </c>
      <c r="H25" s="92">
        <v>20000</v>
      </c>
      <c r="I25" s="92">
        <v>22000</v>
      </c>
      <c r="J25" s="92">
        <v>24000</v>
      </c>
      <c r="K25" s="92">
        <v>26000</v>
      </c>
      <c r="L25" s="92">
        <v>28000</v>
      </c>
      <c r="M25" s="92">
        <v>30000</v>
      </c>
      <c r="N25" s="92">
        <v>32000</v>
      </c>
    </row>
    <row r="26" spans="1:14" x14ac:dyDescent="0.25">
      <c r="A26" s="185" t="s">
        <v>357</v>
      </c>
      <c r="B26" s="183" t="s">
        <v>371</v>
      </c>
      <c r="C26" s="92">
        <v>8000</v>
      </c>
      <c r="D26" s="92">
        <v>8200</v>
      </c>
      <c r="E26" s="92">
        <v>8400</v>
      </c>
      <c r="F26" s="92">
        <v>8600</v>
      </c>
      <c r="G26" s="92">
        <v>8800</v>
      </c>
      <c r="H26" s="92">
        <v>9000</v>
      </c>
      <c r="I26" s="92">
        <v>9200</v>
      </c>
      <c r="J26" s="92">
        <v>9400</v>
      </c>
      <c r="K26" s="92">
        <v>9600</v>
      </c>
      <c r="L26" s="92">
        <v>9800</v>
      </c>
      <c r="M26" s="92">
        <v>10000</v>
      </c>
      <c r="N26" s="92">
        <v>10200</v>
      </c>
    </row>
    <row r="27" spans="1:14" x14ac:dyDescent="0.25">
      <c r="A27" s="185" t="s">
        <v>357</v>
      </c>
      <c r="B27" s="180" t="s">
        <v>363</v>
      </c>
      <c r="C27" s="181">
        <f>C26/C25</f>
        <v>0.8</v>
      </c>
      <c r="D27" s="181">
        <f t="shared" ref="D27:N27" si="0">D26/D25</f>
        <v>0.68333333333333335</v>
      </c>
      <c r="E27" s="181">
        <f t="shared" si="0"/>
        <v>0.6</v>
      </c>
      <c r="F27" s="181">
        <f t="shared" si="0"/>
        <v>0.53749999999999998</v>
      </c>
      <c r="G27" s="181">
        <f t="shared" si="0"/>
        <v>0.48888888888888887</v>
      </c>
      <c r="H27" s="181">
        <f t="shared" si="0"/>
        <v>0.45</v>
      </c>
      <c r="I27" s="181">
        <f t="shared" si="0"/>
        <v>0.41818181818181815</v>
      </c>
      <c r="J27" s="181">
        <f t="shared" si="0"/>
        <v>0.39166666666666666</v>
      </c>
      <c r="K27" s="181">
        <f t="shared" si="0"/>
        <v>0.36923076923076925</v>
      </c>
      <c r="L27" s="181">
        <f t="shared" si="0"/>
        <v>0.35</v>
      </c>
      <c r="M27" s="181">
        <f t="shared" si="0"/>
        <v>0.33333333333333331</v>
      </c>
      <c r="N27" s="181">
        <f t="shared" si="0"/>
        <v>0.31874999999999998</v>
      </c>
    </row>
    <row r="28" spans="1:14" x14ac:dyDescent="0.25">
      <c r="A28" s="186"/>
      <c r="B28" s="183" t="s">
        <v>362</v>
      </c>
      <c r="C28" s="92">
        <v>500</v>
      </c>
      <c r="D28" s="92">
        <v>550</v>
      </c>
      <c r="E28" s="92">
        <v>600</v>
      </c>
      <c r="F28" s="92">
        <v>650</v>
      </c>
      <c r="G28" s="92">
        <v>700</v>
      </c>
      <c r="H28" s="92">
        <v>750</v>
      </c>
      <c r="I28" s="92">
        <v>800</v>
      </c>
      <c r="J28" s="92">
        <v>850</v>
      </c>
      <c r="K28" s="92">
        <v>900</v>
      </c>
      <c r="L28" s="92">
        <v>950</v>
      </c>
      <c r="M28" s="92">
        <v>1000</v>
      </c>
      <c r="N28" s="92">
        <v>1050</v>
      </c>
    </row>
    <row r="29" spans="1:14" x14ac:dyDescent="0.25">
      <c r="A29" s="186"/>
      <c r="B29" s="180" t="s">
        <v>366</v>
      </c>
      <c r="C29" s="92"/>
      <c r="D29" s="92"/>
      <c r="E29" s="92"/>
      <c r="F29" s="92"/>
      <c r="G29" s="92"/>
      <c r="H29" s="92"/>
      <c r="I29" s="92"/>
      <c r="J29" s="92"/>
      <c r="K29" s="92"/>
      <c r="L29" s="92"/>
      <c r="M29" s="92"/>
      <c r="N29" s="92"/>
    </row>
    <row r="30" spans="1:14" x14ac:dyDescent="0.25">
      <c r="A30" s="185" t="s">
        <v>357</v>
      </c>
      <c r="B30" s="180" t="s">
        <v>364</v>
      </c>
      <c r="C30" s="188">
        <f t="shared" ref="C30:N30" si="1">C25/C61</f>
        <v>1.9841269841269842</v>
      </c>
      <c r="D30" s="188">
        <f t="shared" si="1"/>
        <v>1.9841269841269842</v>
      </c>
      <c r="E30" s="188">
        <f t="shared" si="1"/>
        <v>1.9841269841269842</v>
      </c>
      <c r="F30" s="188">
        <f t="shared" si="1"/>
        <v>1.9841269841269842</v>
      </c>
      <c r="G30" s="188">
        <f t="shared" si="1"/>
        <v>1.9841269841269842</v>
      </c>
      <c r="H30" s="188">
        <f t="shared" si="1"/>
        <v>1.9841269841269842</v>
      </c>
      <c r="I30" s="188">
        <f t="shared" si="1"/>
        <v>1.9841269841269844</v>
      </c>
      <c r="J30" s="188">
        <f t="shared" si="1"/>
        <v>1.9841269841269842</v>
      </c>
      <c r="K30" s="188">
        <f t="shared" si="1"/>
        <v>1.9841269841269842</v>
      </c>
      <c r="L30" s="188">
        <f t="shared" si="1"/>
        <v>1.9841269841269842</v>
      </c>
      <c r="M30" s="188">
        <f t="shared" si="1"/>
        <v>1.9841269841269842</v>
      </c>
      <c r="N30" s="188">
        <f t="shared" si="1"/>
        <v>1.9841269841269842</v>
      </c>
    </row>
    <row r="31" spans="1:14" x14ac:dyDescent="0.25">
      <c r="A31" s="186"/>
    </row>
    <row r="32" spans="1:14" x14ac:dyDescent="0.25">
      <c r="A32" s="186"/>
    </row>
    <row r="33" spans="1:1" x14ac:dyDescent="0.25">
      <c r="A33" s="186"/>
    </row>
    <row r="34" spans="1:1" x14ac:dyDescent="0.25">
      <c r="A34" s="186"/>
    </row>
    <row r="35" spans="1:1" x14ac:dyDescent="0.25">
      <c r="A35" s="186"/>
    </row>
    <row r="36" spans="1:1" x14ac:dyDescent="0.25">
      <c r="A36" s="186"/>
    </row>
    <row r="37" spans="1:1" x14ac:dyDescent="0.25">
      <c r="A37" s="186"/>
    </row>
    <row r="38" spans="1:1" x14ac:dyDescent="0.25">
      <c r="A38" s="186"/>
    </row>
    <row r="39" spans="1:1" x14ac:dyDescent="0.25">
      <c r="A39" s="186"/>
    </row>
    <row r="40" spans="1:1" x14ac:dyDescent="0.25">
      <c r="A40" s="186"/>
    </row>
    <row r="41" spans="1:1" x14ac:dyDescent="0.25">
      <c r="A41" s="186"/>
    </row>
    <row r="42" spans="1:1" x14ac:dyDescent="0.25">
      <c r="A42" s="186"/>
    </row>
    <row r="43" spans="1:1" x14ac:dyDescent="0.25">
      <c r="A43" s="186"/>
    </row>
    <row r="44" spans="1:1" x14ac:dyDescent="0.25">
      <c r="A44" s="186"/>
    </row>
    <row r="45" spans="1:1" x14ac:dyDescent="0.25">
      <c r="A45" s="186"/>
    </row>
    <row r="46" spans="1:1" x14ac:dyDescent="0.25">
      <c r="A46" s="186"/>
    </row>
    <row r="47" spans="1:1" x14ac:dyDescent="0.25">
      <c r="A47" s="186"/>
    </row>
    <row r="48" spans="1:1" x14ac:dyDescent="0.25">
      <c r="A48" s="186"/>
    </row>
    <row r="49" spans="1:14" x14ac:dyDescent="0.25">
      <c r="A49" s="186"/>
    </row>
    <row r="50" spans="1:14" x14ac:dyDescent="0.25">
      <c r="A50" s="186"/>
      <c r="B50" s="95" t="s">
        <v>365</v>
      </c>
    </row>
    <row r="51" spans="1:14" x14ac:dyDescent="0.25">
      <c r="A51" s="186"/>
    </row>
    <row r="52" spans="1:14" x14ac:dyDescent="0.25">
      <c r="A52" s="186"/>
      <c r="B52" s="95" t="s">
        <v>358</v>
      </c>
      <c r="C52" s="89" t="s">
        <v>295</v>
      </c>
      <c r="D52" s="89" t="s">
        <v>296</v>
      </c>
      <c r="E52" s="89" t="s">
        <v>297</v>
      </c>
      <c r="F52" s="89" t="s">
        <v>298</v>
      </c>
      <c r="G52" s="89" t="s">
        <v>299</v>
      </c>
      <c r="H52" s="89" t="s">
        <v>300</v>
      </c>
      <c r="I52" s="89" t="s">
        <v>301</v>
      </c>
      <c r="J52" s="89" t="s">
        <v>302</v>
      </c>
      <c r="K52" s="89" t="s">
        <v>303</v>
      </c>
      <c r="L52" s="89" t="s">
        <v>304</v>
      </c>
      <c r="M52" s="89" t="s">
        <v>305</v>
      </c>
      <c r="N52" s="89" t="s">
        <v>306</v>
      </c>
    </row>
    <row r="53" spans="1:14" x14ac:dyDescent="0.25">
      <c r="A53" s="186"/>
      <c r="B53" s="180" t="s">
        <v>344</v>
      </c>
      <c r="C53" s="92">
        <v>10000</v>
      </c>
      <c r="D53" s="92">
        <v>12000</v>
      </c>
      <c r="E53" s="92">
        <v>14000</v>
      </c>
      <c r="F53" s="92">
        <v>16000</v>
      </c>
      <c r="G53" s="92">
        <v>18000</v>
      </c>
      <c r="H53" s="92">
        <v>20000</v>
      </c>
      <c r="I53" s="92">
        <v>22000</v>
      </c>
      <c r="J53" s="92">
        <v>24000</v>
      </c>
      <c r="K53" s="92">
        <v>26000</v>
      </c>
      <c r="L53" s="92">
        <v>28000</v>
      </c>
      <c r="M53" s="92">
        <v>30000</v>
      </c>
      <c r="N53" s="92">
        <v>32000</v>
      </c>
    </row>
    <row r="54" spans="1:14" x14ac:dyDescent="0.25">
      <c r="A54" s="186"/>
      <c r="B54" s="180" t="s">
        <v>353</v>
      </c>
      <c r="C54" s="92">
        <f>C53</f>
        <v>10000</v>
      </c>
      <c r="D54" s="92">
        <f>C54+D53</f>
        <v>22000</v>
      </c>
      <c r="E54" s="92">
        <f>D54+E53</f>
        <v>36000</v>
      </c>
      <c r="F54" s="92">
        <f t="shared" ref="F54:N54" si="2">E54+F53</f>
        <v>52000</v>
      </c>
      <c r="G54" s="92">
        <f t="shared" si="2"/>
        <v>70000</v>
      </c>
      <c r="H54" s="92">
        <f t="shared" si="2"/>
        <v>90000</v>
      </c>
      <c r="I54" s="92">
        <f t="shared" si="2"/>
        <v>112000</v>
      </c>
      <c r="J54" s="92">
        <f t="shared" si="2"/>
        <v>136000</v>
      </c>
      <c r="K54" s="92">
        <f t="shared" si="2"/>
        <v>162000</v>
      </c>
      <c r="L54" s="92">
        <f t="shared" si="2"/>
        <v>190000</v>
      </c>
      <c r="M54" s="92">
        <f t="shared" si="2"/>
        <v>220000</v>
      </c>
      <c r="N54" s="92">
        <f t="shared" si="2"/>
        <v>252000</v>
      </c>
    </row>
    <row r="55" spans="1:14" x14ac:dyDescent="0.25">
      <c r="A55" s="186"/>
      <c r="B55" s="180" t="s">
        <v>345</v>
      </c>
      <c r="C55" s="92">
        <f>C53*0.7</f>
        <v>7000</v>
      </c>
      <c r="D55" s="92">
        <f t="shared" ref="D55:N55" si="3">D53*0.7</f>
        <v>8400</v>
      </c>
      <c r="E55" s="92">
        <f t="shared" si="3"/>
        <v>9800</v>
      </c>
      <c r="F55" s="92">
        <f t="shared" si="3"/>
        <v>11200</v>
      </c>
      <c r="G55" s="92">
        <f t="shared" si="3"/>
        <v>12600</v>
      </c>
      <c r="H55" s="92">
        <f t="shared" si="3"/>
        <v>14000</v>
      </c>
      <c r="I55" s="92">
        <f t="shared" si="3"/>
        <v>15399.999999999998</v>
      </c>
      <c r="J55" s="92">
        <f t="shared" si="3"/>
        <v>16800</v>
      </c>
      <c r="K55" s="92">
        <f t="shared" si="3"/>
        <v>18200</v>
      </c>
      <c r="L55" s="92">
        <f t="shared" si="3"/>
        <v>19600</v>
      </c>
      <c r="M55" s="92">
        <f t="shared" si="3"/>
        <v>21000</v>
      </c>
      <c r="N55" s="92">
        <f t="shared" si="3"/>
        <v>22400</v>
      </c>
    </row>
    <row r="56" spans="1:14" x14ac:dyDescent="0.25">
      <c r="A56" s="186"/>
      <c r="B56" s="180" t="s">
        <v>354</v>
      </c>
      <c r="C56" s="92">
        <f>C55</f>
        <v>7000</v>
      </c>
      <c r="D56" s="92">
        <f>C56+D55</f>
        <v>15400</v>
      </c>
      <c r="E56" s="92">
        <f t="shared" ref="E56:N56" si="4">D56+E55</f>
        <v>25200</v>
      </c>
      <c r="F56" s="92">
        <f t="shared" si="4"/>
        <v>36400</v>
      </c>
      <c r="G56" s="92">
        <f t="shared" si="4"/>
        <v>49000</v>
      </c>
      <c r="H56" s="92">
        <f t="shared" si="4"/>
        <v>63000</v>
      </c>
      <c r="I56" s="92">
        <f t="shared" si="4"/>
        <v>78400</v>
      </c>
      <c r="J56" s="92">
        <f t="shared" si="4"/>
        <v>95200</v>
      </c>
      <c r="K56" s="92">
        <f t="shared" si="4"/>
        <v>113400</v>
      </c>
      <c r="L56" s="92">
        <f t="shared" si="4"/>
        <v>133000</v>
      </c>
      <c r="M56" s="92">
        <f t="shared" si="4"/>
        <v>154000</v>
      </c>
      <c r="N56" s="92">
        <f t="shared" si="4"/>
        <v>176400</v>
      </c>
    </row>
    <row r="57" spans="1:14" x14ac:dyDescent="0.25">
      <c r="A57" s="186"/>
      <c r="B57" s="180" t="s">
        <v>346</v>
      </c>
      <c r="C57" s="92"/>
      <c r="D57" s="92"/>
      <c r="E57" s="92"/>
      <c r="F57" s="92"/>
      <c r="G57" s="92"/>
      <c r="H57" s="92"/>
      <c r="I57" s="92"/>
      <c r="J57" s="92"/>
      <c r="K57" s="92"/>
      <c r="L57" s="92"/>
      <c r="M57" s="92"/>
      <c r="N57" s="92"/>
    </row>
    <row r="58" spans="1:14" x14ac:dyDescent="0.25">
      <c r="A58" s="185" t="s">
        <v>357</v>
      </c>
      <c r="B58" s="180" t="s">
        <v>347</v>
      </c>
      <c r="C58" s="92">
        <v>500000</v>
      </c>
      <c r="D58" s="92">
        <v>520000</v>
      </c>
      <c r="E58" s="92">
        <v>540000</v>
      </c>
      <c r="F58" s="92">
        <v>560000</v>
      </c>
      <c r="G58" s="92">
        <v>580000</v>
      </c>
      <c r="H58" s="92">
        <v>600000</v>
      </c>
      <c r="I58" s="92">
        <v>620000</v>
      </c>
      <c r="J58" s="92">
        <v>640000</v>
      </c>
      <c r="K58" s="92">
        <v>660000</v>
      </c>
      <c r="L58" s="92">
        <v>680000</v>
      </c>
      <c r="M58" s="92">
        <v>700000</v>
      </c>
      <c r="N58" s="92">
        <v>720000</v>
      </c>
    </row>
    <row r="59" spans="1:14" x14ac:dyDescent="0.25">
      <c r="A59" s="185" t="s">
        <v>357</v>
      </c>
      <c r="B59" s="180" t="s">
        <v>348</v>
      </c>
      <c r="C59" s="92">
        <f>C58*0.6</f>
        <v>300000</v>
      </c>
      <c r="D59" s="92">
        <f t="shared" ref="D59:N59" si="5">D58*0.6</f>
        <v>312000</v>
      </c>
      <c r="E59" s="92">
        <f t="shared" si="5"/>
        <v>324000</v>
      </c>
      <c r="F59" s="92">
        <f t="shared" si="5"/>
        <v>336000</v>
      </c>
      <c r="G59" s="92">
        <f t="shared" si="5"/>
        <v>348000</v>
      </c>
      <c r="H59" s="92">
        <f t="shared" si="5"/>
        <v>360000</v>
      </c>
      <c r="I59" s="92">
        <f t="shared" si="5"/>
        <v>372000</v>
      </c>
      <c r="J59" s="92">
        <f t="shared" si="5"/>
        <v>384000</v>
      </c>
      <c r="K59" s="92">
        <f t="shared" si="5"/>
        <v>396000</v>
      </c>
      <c r="L59" s="92">
        <f t="shared" si="5"/>
        <v>408000</v>
      </c>
      <c r="M59" s="92">
        <f t="shared" si="5"/>
        <v>420000</v>
      </c>
      <c r="N59" s="92">
        <f t="shared" si="5"/>
        <v>432000</v>
      </c>
    </row>
    <row r="60" spans="1:14" x14ac:dyDescent="0.25">
      <c r="A60" s="185" t="s">
        <v>357</v>
      </c>
      <c r="B60" s="180" t="s">
        <v>351</v>
      </c>
      <c r="C60" s="92">
        <v>4200</v>
      </c>
      <c r="D60" s="92">
        <v>5040</v>
      </c>
      <c r="E60" s="92">
        <v>5880</v>
      </c>
      <c r="F60" s="92">
        <v>6720</v>
      </c>
      <c r="G60" s="92">
        <v>7560</v>
      </c>
      <c r="H60" s="92">
        <v>8400</v>
      </c>
      <c r="I60" s="92">
        <v>9239.9999999999982</v>
      </c>
      <c r="J60" s="92">
        <v>10080</v>
      </c>
      <c r="K60" s="92">
        <v>10920</v>
      </c>
      <c r="L60" s="92">
        <v>11760</v>
      </c>
      <c r="M60" s="92">
        <v>12600</v>
      </c>
      <c r="N60" s="92">
        <v>13440</v>
      </c>
    </row>
    <row r="61" spans="1:14" x14ac:dyDescent="0.25">
      <c r="A61" s="185" t="s">
        <v>357</v>
      </c>
      <c r="B61" s="180" t="s">
        <v>352</v>
      </c>
      <c r="C61" s="92">
        <f>C60*1.2</f>
        <v>5040</v>
      </c>
      <c r="D61" s="92">
        <f t="shared" ref="D61:N61" si="6">D60*1.2</f>
        <v>6048</v>
      </c>
      <c r="E61" s="92">
        <f t="shared" si="6"/>
        <v>7056</v>
      </c>
      <c r="F61" s="92">
        <f t="shared" si="6"/>
        <v>8064</v>
      </c>
      <c r="G61" s="92">
        <f t="shared" si="6"/>
        <v>9072</v>
      </c>
      <c r="H61" s="92">
        <f t="shared" si="6"/>
        <v>10080</v>
      </c>
      <c r="I61" s="92">
        <f t="shared" si="6"/>
        <v>11087.999999999998</v>
      </c>
      <c r="J61" s="92">
        <f t="shared" si="6"/>
        <v>12096</v>
      </c>
      <c r="K61" s="92">
        <f t="shared" si="6"/>
        <v>13104</v>
      </c>
      <c r="L61" s="92">
        <f t="shared" si="6"/>
        <v>14112</v>
      </c>
      <c r="M61" s="92">
        <f t="shared" si="6"/>
        <v>15120</v>
      </c>
      <c r="N61" s="92">
        <f t="shared" si="6"/>
        <v>16128</v>
      </c>
    </row>
    <row r="62" spans="1:14" x14ac:dyDescent="0.25">
      <c r="A62" s="185"/>
      <c r="B62" s="180" t="s">
        <v>349</v>
      </c>
      <c r="C62" s="92">
        <f>2000</f>
        <v>2000</v>
      </c>
      <c r="D62" s="92">
        <v>2100</v>
      </c>
      <c r="E62" s="92">
        <f>2000</f>
        <v>2000</v>
      </c>
      <c r="F62" s="92">
        <v>2101</v>
      </c>
      <c r="G62" s="92">
        <f>2000</f>
        <v>2000</v>
      </c>
      <c r="H62" s="92">
        <v>2102</v>
      </c>
      <c r="I62" s="92">
        <f>2000</f>
        <v>2000</v>
      </c>
      <c r="J62" s="92">
        <v>2103</v>
      </c>
      <c r="K62" s="92">
        <f>2000</f>
        <v>2000</v>
      </c>
      <c r="L62" s="92">
        <v>2104</v>
      </c>
      <c r="M62" s="92">
        <f>2000</f>
        <v>2000</v>
      </c>
      <c r="N62" s="92">
        <v>2105</v>
      </c>
    </row>
    <row r="63" spans="1:14" x14ac:dyDescent="0.25">
      <c r="A63" s="185"/>
      <c r="B63" s="180" t="s">
        <v>350</v>
      </c>
      <c r="C63" s="92">
        <f>C62*1.1</f>
        <v>2200</v>
      </c>
      <c r="D63" s="92">
        <f t="shared" ref="D63:N63" si="7">D62*1.1</f>
        <v>2310</v>
      </c>
      <c r="E63" s="92">
        <f t="shared" si="7"/>
        <v>2200</v>
      </c>
      <c r="F63" s="92">
        <f t="shared" si="7"/>
        <v>2311.1000000000004</v>
      </c>
      <c r="G63" s="92">
        <f t="shared" si="7"/>
        <v>2200</v>
      </c>
      <c r="H63" s="92">
        <f t="shared" si="7"/>
        <v>2312.2000000000003</v>
      </c>
      <c r="I63" s="92">
        <f t="shared" si="7"/>
        <v>2200</v>
      </c>
      <c r="J63" s="92">
        <f t="shared" si="7"/>
        <v>2313.3000000000002</v>
      </c>
      <c r="K63" s="92">
        <f t="shared" si="7"/>
        <v>2200</v>
      </c>
      <c r="L63" s="92">
        <f t="shared" si="7"/>
        <v>2314.4</v>
      </c>
      <c r="M63" s="92">
        <f t="shared" si="7"/>
        <v>2200</v>
      </c>
      <c r="N63" s="92">
        <f t="shared" si="7"/>
        <v>2315.5</v>
      </c>
    </row>
    <row r="64" spans="1:14" x14ac:dyDescent="0.25">
      <c r="A64" s="185" t="s">
        <v>357</v>
      </c>
      <c r="B64" s="180" t="s">
        <v>355</v>
      </c>
      <c r="C64" s="92">
        <v>4000</v>
      </c>
      <c r="D64" s="92">
        <v>4100</v>
      </c>
      <c r="E64" s="92">
        <v>4200</v>
      </c>
      <c r="F64" s="92">
        <v>4300</v>
      </c>
      <c r="G64" s="92">
        <v>4400</v>
      </c>
      <c r="H64" s="92">
        <v>4500</v>
      </c>
      <c r="I64" s="92">
        <v>4600</v>
      </c>
      <c r="J64" s="92">
        <v>4700</v>
      </c>
      <c r="K64" s="92">
        <v>4800</v>
      </c>
      <c r="L64" s="92">
        <v>4900</v>
      </c>
      <c r="M64" s="92">
        <v>5000</v>
      </c>
      <c r="N64" s="92">
        <v>5100</v>
      </c>
    </row>
    <row r="65" spans="1:14" x14ac:dyDescent="0.25">
      <c r="A65" s="182"/>
    </row>
    <row r="66" spans="1:14" x14ac:dyDescent="0.25">
      <c r="A66" s="182"/>
      <c r="B66" s="95" t="s">
        <v>359</v>
      </c>
      <c r="C66" s="89" t="s">
        <v>295</v>
      </c>
      <c r="D66" s="89" t="s">
        <v>296</v>
      </c>
      <c r="E66" s="89" t="s">
        <v>297</v>
      </c>
      <c r="F66" s="89" t="s">
        <v>298</v>
      </c>
      <c r="G66" s="89" t="s">
        <v>299</v>
      </c>
      <c r="H66" s="89" t="s">
        <v>300</v>
      </c>
      <c r="I66" s="89" t="s">
        <v>301</v>
      </c>
      <c r="J66" s="89" t="s">
        <v>302</v>
      </c>
      <c r="K66" s="89" t="s">
        <v>303</v>
      </c>
      <c r="L66" s="89" t="s">
        <v>304</v>
      </c>
      <c r="M66" s="89" t="s">
        <v>305</v>
      </c>
      <c r="N66" s="89" t="s">
        <v>306</v>
      </c>
    </row>
    <row r="67" spans="1:14" x14ac:dyDescent="0.25">
      <c r="A67" s="182"/>
      <c r="B67" s="180" t="s">
        <v>356</v>
      </c>
      <c r="C67" s="92">
        <f>C56</f>
        <v>7000</v>
      </c>
      <c r="D67" s="92">
        <f t="shared" ref="D67:N67" si="8">D56</f>
        <v>15400</v>
      </c>
      <c r="E67" s="92">
        <f t="shared" si="8"/>
        <v>25200</v>
      </c>
      <c r="F67" s="92">
        <f t="shared" si="8"/>
        <v>36400</v>
      </c>
      <c r="G67" s="92">
        <f t="shared" si="8"/>
        <v>49000</v>
      </c>
      <c r="H67" s="92">
        <f t="shared" si="8"/>
        <v>63000</v>
      </c>
      <c r="I67" s="92">
        <f t="shared" si="8"/>
        <v>78400</v>
      </c>
      <c r="J67" s="92">
        <f t="shared" si="8"/>
        <v>95200</v>
      </c>
      <c r="K67" s="92">
        <f t="shared" si="8"/>
        <v>113400</v>
      </c>
      <c r="L67" s="92">
        <f t="shared" si="8"/>
        <v>133000</v>
      </c>
      <c r="M67" s="92">
        <f t="shared" si="8"/>
        <v>154000</v>
      </c>
      <c r="N67" s="92">
        <f t="shared" si="8"/>
        <v>176400</v>
      </c>
    </row>
    <row r="68" spans="1:14" x14ac:dyDescent="0.25">
      <c r="A68" s="182"/>
      <c r="B68" s="180" t="s">
        <v>375</v>
      </c>
      <c r="C68" s="92">
        <f>C55</f>
        <v>7000</v>
      </c>
      <c r="D68" s="92">
        <f t="shared" ref="D68:N68" si="9">D55</f>
        <v>8400</v>
      </c>
      <c r="E68" s="92">
        <f t="shared" si="9"/>
        <v>9800</v>
      </c>
      <c r="F68" s="92">
        <f t="shared" si="9"/>
        <v>11200</v>
      </c>
      <c r="G68" s="92">
        <f t="shared" si="9"/>
        <v>12600</v>
      </c>
      <c r="H68" s="92">
        <f t="shared" si="9"/>
        <v>14000</v>
      </c>
      <c r="I68" s="92">
        <f t="shared" si="9"/>
        <v>15399.999999999998</v>
      </c>
      <c r="J68" s="92">
        <f t="shared" si="9"/>
        <v>16800</v>
      </c>
      <c r="K68" s="92">
        <f t="shared" si="9"/>
        <v>18200</v>
      </c>
      <c r="L68" s="92">
        <f t="shared" si="9"/>
        <v>19600</v>
      </c>
      <c r="M68" s="92">
        <f t="shared" si="9"/>
        <v>21000</v>
      </c>
      <c r="N68" s="92">
        <f t="shared" si="9"/>
        <v>22400</v>
      </c>
    </row>
    <row r="69" spans="1:14" x14ac:dyDescent="0.25">
      <c r="A69" s="182"/>
      <c r="B69" s="180" t="s">
        <v>376</v>
      </c>
      <c r="C69" s="92">
        <v>0</v>
      </c>
      <c r="D69" s="92">
        <f>D67-D68</f>
        <v>7000</v>
      </c>
      <c r="E69" s="92">
        <f t="shared" ref="E69:N69" si="10">E67-E68</f>
        <v>15400</v>
      </c>
      <c r="F69" s="92">
        <f t="shared" si="10"/>
        <v>25200</v>
      </c>
      <c r="G69" s="92">
        <f t="shared" si="10"/>
        <v>36400</v>
      </c>
      <c r="H69" s="92">
        <f t="shared" si="10"/>
        <v>49000</v>
      </c>
      <c r="I69" s="92">
        <f t="shared" si="10"/>
        <v>63000</v>
      </c>
      <c r="J69" s="92">
        <f t="shared" si="10"/>
        <v>78400</v>
      </c>
      <c r="K69" s="92">
        <f t="shared" si="10"/>
        <v>95200</v>
      </c>
      <c r="L69" s="92">
        <f t="shared" si="10"/>
        <v>113400</v>
      </c>
      <c r="M69" s="92">
        <f t="shared" si="10"/>
        <v>133000</v>
      </c>
      <c r="N69" s="92">
        <f t="shared" si="10"/>
        <v>154000</v>
      </c>
    </row>
    <row r="70" spans="1:14" x14ac:dyDescent="0.25">
      <c r="A70" s="182"/>
      <c r="B70" s="180" t="s">
        <v>377</v>
      </c>
      <c r="C70" s="92">
        <f t="shared" ref="C70:N70" si="11">C61*0.5</f>
        <v>2520</v>
      </c>
      <c r="D70" s="92">
        <f t="shared" si="11"/>
        <v>3024</v>
      </c>
      <c r="E70" s="92">
        <f t="shared" si="11"/>
        <v>3528</v>
      </c>
      <c r="F70" s="92">
        <f t="shared" si="11"/>
        <v>4032</v>
      </c>
      <c r="G70" s="92">
        <f t="shared" si="11"/>
        <v>4536</v>
      </c>
      <c r="H70" s="92">
        <f t="shared" si="11"/>
        <v>5040</v>
      </c>
      <c r="I70" s="92">
        <f t="shared" si="11"/>
        <v>5543.9999999999991</v>
      </c>
      <c r="J70" s="92">
        <f t="shared" si="11"/>
        <v>6048</v>
      </c>
      <c r="K70" s="92">
        <f t="shared" si="11"/>
        <v>6552</v>
      </c>
      <c r="L70" s="92">
        <f t="shared" si="11"/>
        <v>7056</v>
      </c>
      <c r="M70" s="92">
        <f t="shared" si="11"/>
        <v>7560</v>
      </c>
      <c r="N70" s="92">
        <f t="shared" si="11"/>
        <v>8064</v>
      </c>
    </row>
    <row r="71" spans="1:14" x14ac:dyDescent="0.25">
      <c r="A71" s="182"/>
      <c r="B71" s="180" t="s">
        <v>378</v>
      </c>
      <c r="C71" s="92">
        <f t="shared" ref="C71:N71" si="12">C61*0.5</f>
        <v>2520</v>
      </c>
      <c r="D71" s="92">
        <f t="shared" si="12"/>
        <v>3024</v>
      </c>
      <c r="E71" s="92">
        <f t="shared" si="12"/>
        <v>3528</v>
      </c>
      <c r="F71" s="92">
        <f t="shared" si="12"/>
        <v>4032</v>
      </c>
      <c r="G71" s="92">
        <f t="shared" si="12"/>
        <v>4536</v>
      </c>
      <c r="H71" s="92">
        <f t="shared" si="12"/>
        <v>5040</v>
      </c>
      <c r="I71" s="92">
        <f t="shared" si="12"/>
        <v>5543.9999999999991</v>
      </c>
      <c r="J71" s="92">
        <f t="shared" si="12"/>
        <v>6048</v>
      </c>
      <c r="K71" s="92">
        <f t="shared" si="12"/>
        <v>6552</v>
      </c>
      <c r="L71" s="92">
        <f t="shared" si="12"/>
        <v>7056</v>
      </c>
      <c r="M71" s="92">
        <f t="shared" si="12"/>
        <v>7560</v>
      </c>
      <c r="N71" s="92">
        <f t="shared" si="12"/>
        <v>8064</v>
      </c>
    </row>
    <row r="72" spans="1:14" x14ac:dyDescent="0.25">
      <c r="A72" s="182" t="s">
        <v>357</v>
      </c>
      <c r="B72" s="180" t="s">
        <v>379</v>
      </c>
      <c r="C72" s="181">
        <f>C70/C68</f>
        <v>0.36</v>
      </c>
      <c r="D72" s="181">
        <f t="shared" ref="D72:N72" si="13">D70/D68</f>
        <v>0.36</v>
      </c>
      <c r="E72" s="181">
        <f t="shared" si="13"/>
        <v>0.36</v>
      </c>
      <c r="F72" s="181">
        <f t="shared" si="13"/>
        <v>0.36</v>
      </c>
      <c r="G72" s="181">
        <f t="shared" si="13"/>
        <v>0.36</v>
      </c>
      <c r="H72" s="181">
        <f t="shared" si="13"/>
        <v>0.36</v>
      </c>
      <c r="I72" s="181">
        <f t="shared" si="13"/>
        <v>0.36</v>
      </c>
      <c r="J72" s="181">
        <f t="shared" si="13"/>
        <v>0.36</v>
      </c>
      <c r="K72" s="181">
        <f t="shared" si="13"/>
        <v>0.36</v>
      </c>
      <c r="L72" s="181">
        <f t="shared" si="13"/>
        <v>0.36</v>
      </c>
      <c r="M72" s="181">
        <f t="shared" si="13"/>
        <v>0.36</v>
      </c>
      <c r="N72" s="181">
        <f t="shared" si="13"/>
        <v>0.36</v>
      </c>
    </row>
    <row r="73" spans="1:14" x14ac:dyDescent="0.25">
      <c r="A73" s="182" t="s">
        <v>357</v>
      </c>
      <c r="B73" s="180" t="s">
        <v>380</v>
      </c>
      <c r="C73" s="181" t="e">
        <f>C71/C69</f>
        <v>#DIV/0!</v>
      </c>
      <c r="D73" s="181">
        <f t="shared" ref="D73:N73" si="14">D71/D69</f>
        <v>0.432</v>
      </c>
      <c r="E73" s="181">
        <f t="shared" si="14"/>
        <v>0.2290909090909091</v>
      </c>
      <c r="F73" s="181">
        <f t="shared" si="14"/>
        <v>0.16</v>
      </c>
      <c r="G73" s="181">
        <f t="shared" si="14"/>
        <v>0.12461538461538461</v>
      </c>
      <c r="H73" s="181">
        <f t="shared" si="14"/>
        <v>0.10285714285714286</v>
      </c>
      <c r="I73" s="181">
        <f t="shared" si="14"/>
        <v>8.7999999999999981E-2</v>
      </c>
      <c r="J73" s="181">
        <f t="shared" si="14"/>
        <v>7.7142857142857138E-2</v>
      </c>
      <c r="K73" s="181">
        <f t="shared" si="14"/>
        <v>6.88235294117647E-2</v>
      </c>
      <c r="L73" s="181">
        <f t="shared" si="14"/>
        <v>6.222222222222222E-2</v>
      </c>
      <c r="M73" s="181">
        <f t="shared" si="14"/>
        <v>5.6842105263157895E-2</v>
      </c>
      <c r="N73" s="181">
        <f t="shared" si="14"/>
        <v>5.2363636363636362E-2</v>
      </c>
    </row>
    <row r="74" spans="1:14" x14ac:dyDescent="0.25">
      <c r="A74" s="182" t="s">
        <v>357</v>
      </c>
      <c r="B74" s="180" t="s">
        <v>381</v>
      </c>
      <c r="C74" s="181">
        <f>(C70+C71)/C67</f>
        <v>0.72</v>
      </c>
      <c r="D74" s="181">
        <f>(D70+D71)/D67</f>
        <v>0.3927272727272727</v>
      </c>
      <c r="E74" s="181">
        <f t="shared" ref="E74:N74" si="15">(E70+E71)/E67</f>
        <v>0.28000000000000003</v>
      </c>
      <c r="F74" s="181">
        <f t="shared" si="15"/>
        <v>0.22153846153846155</v>
      </c>
      <c r="G74" s="181">
        <f t="shared" si="15"/>
        <v>0.18514285714285714</v>
      </c>
      <c r="H74" s="181">
        <f t="shared" si="15"/>
        <v>0.16</v>
      </c>
      <c r="I74" s="181">
        <f t="shared" si="15"/>
        <v>0.1414285714285714</v>
      </c>
      <c r="J74" s="181">
        <f t="shared" si="15"/>
        <v>0.12705882352941175</v>
      </c>
      <c r="K74" s="181">
        <f t="shared" si="15"/>
        <v>0.11555555555555555</v>
      </c>
      <c r="L74" s="181">
        <f t="shared" si="15"/>
        <v>0.10610526315789473</v>
      </c>
      <c r="M74" s="181">
        <f t="shared" si="15"/>
        <v>9.8181818181818176E-2</v>
      </c>
      <c r="N74" s="181">
        <f t="shared" si="15"/>
        <v>9.1428571428571428E-2</v>
      </c>
    </row>
    <row r="76" spans="1:14" x14ac:dyDescent="0.25">
      <c r="B76" s="95" t="s">
        <v>367</v>
      </c>
      <c r="C76" s="89" t="s">
        <v>295</v>
      </c>
      <c r="D76" s="89" t="s">
        <v>296</v>
      </c>
      <c r="E76" s="89" t="s">
        <v>297</v>
      </c>
      <c r="F76" s="89" t="s">
        <v>298</v>
      </c>
      <c r="G76" s="89" t="s">
        <v>299</v>
      </c>
      <c r="H76" s="89" t="s">
        <v>300</v>
      </c>
      <c r="I76" s="89" t="s">
        <v>301</v>
      </c>
      <c r="J76" s="89" t="s">
        <v>302</v>
      </c>
      <c r="K76" s="89" t="s">
        <v>303</v>
      </c>
      <c r="L76" s="89" t="s">
        <v>304</v>
      </c>
      <c r="M76" s="89" t="s">
        <v>305</v>
      </c>
      <c r="N76" s="89" t="s">
        <v>306</v>
      </c>
    </row>
    <row r="77" spans="1:14" x14ac:dyDescent="0.25">
      <c r="B77" s="187" t="s">
        <v>369</v>
      </c>
      <c r="C77" s="181">
        <f t="shared" ref="C77:N77" si="16">C55/C53</f>
        <v>0.7</v>
      </c>
      <c r="D77" s="181">
        <f t="shared" si="16"/>
        <v>0.7</v>
      </c>
      <c r="E77" s="181">
        <f t="shared" si="16"/>
        <v>0.7</v>
      </c>
      <c r="F77" s="181">
        <f t="shared" si="16"/>
        <v>0.7</v>
      </c>
      <c r="G77" s="181">
        <f t="shared" si="16"/>
        <v>0.7</v>
      </c>
      <c r="H77" s="181">
        <f t="shared" si="16"/>
        <v>0.7</v>
      </c>
      <c r="I77" s="181">
        <f t="shared" si="16"/>
        <v>0.7</v>
      </c>
      <c r="J77" s="181">
        <f t="shared" si="16"/>
        <v>0.7</v>
      </c>
      <c r="K77" s="181">
        <f t="shared" si="16"/>
        <v>0.7</v>
      </c>
      <c r="L77" s="181">
        <f t="shared" si="16"/>
        <v>0.7</v>
      </c>
      <c r="M77" s="181">
        <f t="shared" si="16"/>
        <v>0.7</v>
      </c>
      <c r="N77" s="181">
        <f t="shared" si="16"/>
        <v>0.7</v>
      </c>
    </row>
    <row r="78" spans="1:14" x14ac:dyDescent="0.25">
      <c r="A78" s="182" t="s">
        <v>357</v>
      </c>
      <c r="B78" s="187" t="s">
        <v>370</v>
      </c>
      <c r="C78" s="92"/>
      <c r="D78" s="92"/>
      <c r="E78" s="92"/>
      <c r="F78" s="92"/>
      <c r="G78" s="92"/>
      <c r="H78" s="92"/>
      <c r="I78" s="92"/>
      <c r="J78" s="92"/>
      <c r="K78" s="92"/>
      <c r="L78" s="92"/>
      <c r="M78" s="92"/>
      <c r="N78" s="92"/>
    </row>
    <row r="80" spans="1:14" x14ac:dyDescent="0.25">
      <c r="B80" s="95" t="s">
        <v>414</v>
      </c>
      <c r="C80" s="89" t="s">
        <v>295</v>
      </c>
      <c r="D80" s="89" t="s">
        <v>296</v>
      </c>
      <c r="E80" s="89" t="s">
        <v>297</v>
      </c>
      <c r="F80" s="89" t="s">
        <v>298</v>
      </c>
      <c r="G80" s="89" t="s">
        <v>299</v>
      </c>
      <c r="H80" s="89" t="s">
        <v>300</v>
      </c>
      <c r="I80" s="89" t="s">
        <v>301</v>
      </c>
      <c r="J80" s="89" t="s">
        <v>302</v>
      </c>
      <c r="K80" s="89" t="s">
        <v>303</v>
      </c>
      <c r="L80" s="89" t="s">
        <v>304</v>
      </c>
      <c r="M80" s="89" t="s">
        <v>305</v>
      </c>
      <c r="N80" s="89" t="s">
        <v>306</v>
      </c>
    </row>
    <row r="81" spans="2:14" x14ac:dyDescent="0.25">
      <c r="B81" s="187" t="s">
        <v>415</v>
      </c>
      <c r="C81" s="181"/>
      <c r="D81" s="181"/>
      <c r="E81" s="181"/>
      <c r="F81" s="181"/>
      <c r="G81" s="181"/>
      <c r="H81" s="181"/>
      <c r="I81" s="181"/>
      <c r="J81" s="181"/>
      <c r="K81" s="181"/>
      <c r="L81" s="181"/>
      <c r="M81" s="181"/>
      <c r="N81" s="181"/>
    </row>
    <row r="82" spans="2:14" x14ac:dyDescent="0.25">
      <c r="B82" s="187" t="s">
        <v>416</v>
      </c>
      <c r="C82" s="92"/>
      <c r="D82" s="92"/>
      <c r="E82" s="92"/>
      <c r="F82" s="92"/>
      <c r="G82" s="92"/>
      <c r="H82" s="92"/>
      <c r="I82" s="92"/>
      <c r="J82" s="92"/>
      <c r="K82" s="92"/>
      <c r="L82" s="92"/>
      <c r="M82" s="92"/>
      <c r="N82" s="92"/>
    </row>
    <row r="83" spans="2:14" x14ac:dyDescent="0.25">
      <c r="B83" s="187" t="s">
        <v>417</v>
      </c>
      <c r="C83" s="92"/>
      <c r="D83" s="92"/>
      <c r="E83" s="92"/>
      <c r="F83" s="92"/>
      <c r="G83" s="92"/>
      <c r="H83" s="92"/>
      <c r="I83" s="92"/>
      <c r="J83" s="92"/>
      <c r="K83" s="92"/>
      <c r="L83" s="92"/>
      <c r="M83" s="92"/>
      <c r="N83" s="92"/>
    </row>
    <row r="86" spans="2:14" x14ac:dyDescent="0.25">
      <c r="B86" s="95" t="s">
        <v>368</v>
      </c>
    </row>
    <row r="107" spans="2:16" x14ac:dyDescent="0.25">
      <c r="B107" s="353" t="s">
        <v>413</v>
      </c>
      <c r="C107" s="354"/>
    </row>
    <row r="112" spans="2:16" x14ac:dyDescent="0.25">
      <c r="B112" s="95" t="s">
        <v>373</v>
      </c>
      <c r="C112" s="89"/>
      <c r="D112" s="360" t="s">
        <v>293</v>
      </c>
      <c r="E112" s="361"/>
      <c r="F112" s="361"/>
      <c r="G112" s="361"/>
      <c r="H112" s="361"/>
      <c r="I112" s="361"/>
      <c r="J112" s="361"/>
      <c r="K112" s="361"/>
      <c r="L112" s="361"/>
      <c r="M112" s="361"/>
      <c r="N112" s="361"/>
      <c r="O112" s="361"/>
      <c r="P112" s="362"/>
    </row>
    <row r="113" spans="2:16" x14ac:dyDescent="0.25">
      <c r="B113" s="89" t="s">
        <v>291</v>
      </c>
      <c r="C113" s="89" t="s">
        <v>292</v>
      </c>
      <c r="D113" s="89" t="s">
        <v>294</v>
      </c>
      <c r="E113" s="89" t="s">
        <v>295</v>
      </c>
      <c r="F113" s="89" t="s">
        <v>296</v>
      </c>
      <c r="G113" s="89" t="s">
        <v>297</v>
      </c>
      <c r="H113" s="89" t="s">
        <v>298</v>
      </c>
      <c r="I113" s="89" t="s">
        <v>299</v>
      </c>
      <c r="J113" s="89" t="s">
        <v>300</v>
      </c>
      <c r="K113" s="89" t="s">
        <v>301</v>
      </c>
      <c r="L113" s="89" t="s">
        <v>302</v>
      </c>
      <c r="M113" s="89" t="s">
        <v>303</v>
      </c>
      <c r="N113" s="89" t="s">
        <v>304</v>
      </c>
      <c r="O113" s="89" t="s">
        <v>305</v>
      </c>
      <c r="P113" s="89" t="s">
        <v>306</v>
      </c>
    </row>
    <row r="114" spans="2:16" x14ac:dyDescent="0.25">
      <c r="B114" s="91" t="s">
        <v>295</v>
      </c>
      <c r="C114" s="91">
        <v>80</v>
      </c>
      <c r="D114" s="92"/>
      <c r="E114" s="174">
        <v>78</v>
      </c>
      <c r="F114" s="174">
        <v>75</v>
      </c>
      <c r="G114" s="174">
        <v>72</v>
      </c>
      <c r="H114" s="174">
        <v>70</v>
      </c>
      <c r="I114" s="174">
        <v>69</v>
      </c>
      <c r="J114" s="174">
        <v>67</v>
      </c>
      <c r="K114" s="174">
        <v>66</v>
      </c>
      <c r="L114" s="174">
        <v>66</v>
      </c>
      <c r="M114" s="174">
        <v>65</v>
      </c>
      <c r="N114" s="174">
        <v>64</v>
      </c>
      <c r="O114" s="174">
        <v>63</v>
      </c>
      <c r="P114" s="174">
        <v>63</v>
      </c>
    </row>
    <row r="115" spans="2:16" x14ac:dyDescent="0.25">
      <c r="B115" s="91" t="s">
        <v>296</v>
      </c>
      <c r="C115" s="91">
        <v>88</v>
      </c>
      <c r="D115" s="92"/>
      <c r="E115" s="92"/>
      <c r="F115" s="92">
        <v>88</v>
      </c>
      <c r="G115" s="92">
        <v>86</v>
      </c>
      <c r="H115" s="92">
        <v>82</v>
      </c>
      <c r="I115" s="92">
        <v>78</v>
      </c>
      <c r="J115" s="92">
        <v>77</v>
      </c>
      <c r="K115" s="92">
        <v>76</v>
      </c>
      <c r="L115" s="92">
        <v>73</v>
      </c>
      <c r="M115" s="92">
        <v>72</v>
      </c>
      <c r="N115" s="92">
        <v>70</v>
      </c>
      <c r="O115" s="92">
        <v>70</v>
      </c>
      <c r="P115" s="92">
        <v>68</v>
      </c>
    </row>
    <row r="116" spans="2:16" x14ac:dyDescent="0.25">
      <c r="B116" s="91" t="s">
        <v>297</v>
      </c>
      <c r="C116" s="91">
        <v>105</v>
      </c>
      <c r="D116" s="92"/>
      <c r="E116" s="92"/>
      <c r="F116" s="92"/>
      <c r="G116" s="92">
        <v>103</v>
      </c>
      <c r="H116" s="92">
        <v>103</v>
      </c>
      <c r="I116" s="92">
        <v>98</v>
      </c>
      <c r="J116" s="92">
        <v>94</v>
      </c>
      <c r="K116" s="92">
        <v>92</v>
      </c>
      <c r="L116" s="92">
        <v>90</v>
      </c>
      <c r="M116" s="92">
        <v>86</v>
      </c>
      <c r="N116" s="92">
        <v>82</v>
      </c>
      <c r="O116" s="92">
        <v>81</v>
      </c>
      <c r="P116" s="92">
        <v>80</v>
      </c>
    </row>
    <row r="117" spans="2:16" x14ac:dyDescent="0.25">
      <c r="B117" s="91" t="s">
        <v>298</v>
      </c>
      <c r="C117" s="91">
        <v>110</v>
      </c>
      <c r="D117" s="92"/>
      <c r="E117" s="92"/>
      <c r="F117" s="92"/>
      <c r="G117" s="92"/>
      <c r="H117" s="92">
        <v>107</v>
      </c>
      <c r="I117" s="92">
        <v>106</v>
      </c>
      <c r="J117" s="92">
        <v>102</v>
      </c>
      <c r="K117" s="92">
        <v>99</v>
      </c>
      <c r="L117" s="92">
        <v>97</v>
      </c>
      <c r="M117" s="92">
        <v>92</v>
      </c>
      <c r="N117" s="92">
        <v>90</v>
      </c>
      <c r="O117" s="92">
        <v>88</v>
      </c>
      <c r="P117" s="92">
        <v>87</v>
      </c>
    </row>
    <row r="118" spans="2:16" x14ac:dyDescent="0.25">
      <c r="B118" s="91" t="s">
        <v>299</v>
      </c>
      <c r="C118" s="91">
        <v>115</v>
      </c>
      <c r="D118" s="92"/>
      <c r="E118" s="92"/>
      <c r="F118" s="92"/>
      <c r="G118" s="92"/>
      <c r="H118" s="92"/>
      <c r="I118" s="92">
        <v>114</v>
      </c>
      <c r="J118" s="92">
        <v>112</v>
      </c>
      <c r="K118" s="92">
        <v>105</v>
      </c>
      <c r="L118" s="92">
        <v>98</v>
      </c>
      <c r="M118" s="92">
        <v>97</v>
      </c>
      <c r="N118" s="92">
        <v>96</v>
      </c>
      <c r="O118" s="92">
        <v>96</v>
      </c>
      <c r="P118" s="92">
        <v>92</v>
      </c>
    </row>
    <row r="119" spans="2:16" x14ac:dyDescent="0.25">
      <c r="B119" s="91" t="s">
        <v>300</v>
      </c>
      <c r="C119" s="91">
        <v>128</v>
      </c>
      <c r="D119" s="92"/>
      <c r="E119" s="92"/>
      <c r="F119" s="92"/>
      <c r="G119" s="92"/>
      <c r="H119" s="92"/>
      <c r="I119" s="92"/>
      <c r="J119" s="92">
        <v>128</v>
      </c>
      <c r="K119" s="92">
        <v>122</v>
      </c>
      <c r="L119" s="92">
        <v>119</v>
      </c>
      <c r="M119" s="92">
        <v>115</v>
      </c>
      <c r="N119" s="92">
        <v>110</v>
      </c>
      <c r="O119" s="92">
        <v>109</v>
      </c>
      <c r="P119" s="92">
        <v>105</v>
      </c>
    </row>
    <row r="120" spans="2:16" x14ac:dyDescent="0.25">
      <c r="B120" s="91" t="s">
        <v>301</v>
      </c>
      <c r="C120" s="91">
        <v>137</v>
      </c>
      <c r="D120" s="92"/>
      <c r="E120" s="92"/>
      <c r="F120" s="92"/>
      <c r="G120" s="92"/>
      <c r="H120" s="92"/>
      <c r="I120" s="92"/>
      <c r="J120" s="92"/>
      <c r="K120" s="92">
        <v>136</v>
      </c>
      <c r="L120" s="92">
        <v>129</v>
      </c>
      <c r="M120" s="92">
        <v>122</v>
      </c>
      <c r="N120" s="92">
        <v>118</v>
      </c>
      <c r="O120" s="92">
        <v>116</v>
      </c>
      <c r="P120" s="92">
        <v>114</v>
      </c>
    </row>
    <row r="121" spans="2:16" x14ac:dyDescent="0.25">
      <c r="B121" s="91" t="s">
        <v>302</v>
      </c>
      <c r="C121" s="91">
        <v>151</v>
      </c>
      <c r="D121" s="92"/>
      <c r="E121" s="92"/>
      <c r="F121" s="92"/>
      <c r="G121" s="92"/>
      <c r="H121" s="92"/>
      <c r="I121" s="92"/>
      <c r="J121" s="92"/>
      <c r="K121" s="92"/>
      <c r="L121" s="92">
        <v>149</v>
      </c>
      <c r="M121" s="92">
        <v>145</v>
      </c>
      <c r="N121" s="92">
        <v>135</v>
      </c>
      <c r="O121" s="92">
        <v>133</v>
      </c>
      <c r="P121" s="92">
        <v>130</v>
      </c>
    </row>
    <row r="122" spans="2:16" x14ac:dyDescent="0.25">
      <c r="B122" s="91" t="s">
        <v>303</v>
      </c>
      <c r="C122" s="91">
        <v>161</v>
      </c>
      <c r="D122" s="92"/>
      <c r="E122" s="92"/>
      <c r="F122" s="92"/>
      <c r="G122" s="92"/>
      <c r="H122" s="92"/>
      <c r="I122" s="92"/>
      <c r="J122" s="92"/>
      <c r="K122" s="92"/>
      <c r="L122" s="92"/>
      <c r="M122" s="92">
        <v>158</v>
      </c>
      <c r="N122" s="92">
        <v>154</v>
      </c>
      <c r="O122" s="92">
        <v>151</v>
      </c>
      <c r="P122" s="92">
        <v>150</v>
      </c>
    </row>
    <row r="123" spans="2:16" x14ac:dyDescent="0.25">
      <c r="B123" s="91" t="s">
        <v>304</v>
      </c>
      <c r="C123" s="91">
        <v>168</v>
      </c>
      <c r="D123" s="92"/>
      <c r="E123" s="92"/>
      <c r="F123" s="92"/>
      <c r="G123" s="92"/>
      <c r="H123" s="92"/>
      <c r="I123" s="92"/>
      <c r="J123" s="92"/>
      <c r="K123" s="92"/>
      <c r="L123" s="92"/>
      <c r="M123" s="92"/>
      <c r="N123" s="92">
        <v>161</v>
      </c>
      <c r="O123" s="92">
        <v>158</v>
      </c>
      <c r="P123" s="92">
        <v>151</v>
      </c>
    </row>
    <row r="124" spans="2:16" x14ac:dyDescent="0.25">
      <c r="B124" s="91" t="s">
        <v>305</v>
      </c>
      <c r="C124" s="91">
        <v>170</v>
      </c>
      <c r="D124" s="92"/>
      <c r="E124" s="92"/>
      <c r="F124" s="92"/>
      <c r="G124" s="92"/>
      <c r="H124" s="92"/>
      <c r="I124" s="92"/>
      <c r="J124" s="92"/>
      <c r="K124" s="92"/>
      <c r="L124" s="92"/>
      <c r="M124" s="92"/>
      <c r="N124" s="92"/>
      <c r="O124" s="92">
        <v>166</v>
      </c>
      <c r="P124" s="92">
        <v>165</v>
      </c>
    </row>
    <row r="125" spans="2:16" x14ac:dyDescent="0.25">
      <c r="B125" s="91" t="s">
        <v>306</v>
      </c>
      <c r="C125" s="91">
        <v>177</v>
      </c>
      <c r="D125" s="92"/>
      <c r="E125" s="92"/>
      <c r="F125" s="92"/>
      <c r="G125" s="92"/>
      <c r="H125" s="92"/>
      <c r="I125" s="92"/>
      <c r="J125" s="92"/>
      <c r="K125" s="92"/>
      <c r="L125" s="92"/>
      <c r="M125" s="92"/>
      <c r="N125" s="92"/>
      <c r="O125" s="92"/>
      <c r="P125" s="92">
        <v>176</v>
      </c>
    </row>
    <row r="126" spans="2:16" x14ac:dyDescent="0.25">
      <c r="B126" s="355" t="s">
        <v>307</v>
      </c>
      <c r="C126" s="356"/>
      <c r="D126" s="170">
        <f t="shared" ref="D126:P126" si="17">SUM(D114:D125)</f>
        <v>0</v>
      </c>
      <c r="E126" s="170">
        <f t="shared" si="17"/>
        <v>78</v>
      </c>
      <c r="F126" s="170">
        <f t="shared" si="17"/>
        <v>163</v>
      </c>
      <c r="G126" s="170">
        <f t="shared" si="17"/>
        <v>261</v>
      </c>
      <c r="H126" s="170">
        <f t="shared" si="17"/>
        <v>362</v>
      </c>
      <c r="I126" s="170">
        <f t="shared" si="17"/>
        <v>465</v>
      </c>
      <c r="J126" s="170">
        <f t="shared" si="17"/>
        <v>580</v>
      </c>
      <c r="K126" s="170">
        <f t="shared" si="17"/>
        <v>696</v>
      </c>
      <c r="L126" s="170">
        <f t="shared" si="17"/>
        <v>821</v>
      </c>
      <c r="M126" s="170">
        <f t="shared" si="17"/>
        <v>952</v>
      </c>
      <c r="N126" s="170">
        <f t="shared" si="17"/>
        <v>1080</v>
      </c>
      <c r="O126" s="170">
        <f t="shared" si="17"/>
        <v>1231</v>
      </c>
      <c r="P126" s="170">
        <f t="shared" si="17"/>
        <v>1381</v>
      </c>
    </row>
    <row r="127" spans="2:16" x14ac:dyDescent="0.25">
      <c r="B127" s="169"/>
      <c r="C127" s="169"/>
      <c r="D127" s="169"/>
      <c r="E127" s="169"/>
      <c r="F127" s="169"/>
      <c r="G127" s="169"/>
      <c r="H127" s="169"/>
      <c r="I127" s="169"/>
      <c r="J127" s="169"/>
      <c r="K127" s="169"/>
      <c r="L127" s="169"/>
      <c r="M127" s="169"/>
      <c r="N127" s="169"/>
      <c r="O127" s="169"/>
      <c r="P127" s="169"/>
    </row>
    <row r="128" spans="2:16" x14ac:dyDescent="0.25">
      <c r="B128" s="95" t="s">
        <v>372</v>
      </c>
      <c r="C128" s="89"/>
      <c r="D128" s="360" t="s">
        <v>308</v>
      </c>
      <c r="E128" s="361"/>
      <c r="F128" s="361"/>
      <c r="G128" s="361"/>
      <c r="H128" s="361"/>
      <c r="I128" s="361"/>
      <c r="J128" s="361"/>
      <c r="K128" s="361"/>
      <c r="L128" s="361"/>
      <c r="M128" s="361"/>
      <c r="N128" s="361"/>
      <c r="O128" s="361"/>
      <c r="P128" s="362"/>
    </row>
    <row r="129" spans="2:16" x14ac:dyDescent="0.25">
      <c r="B129" s="89" t="str">
        <f t="shared" ref="B129:P129" si="18">B113</f>
        <v>月份</v>
      </c>
      <c r="C129" s="89" t="str">
        <f t="shared" si="18"/>
        <v>新增用户</v>
      </c>
      <c r="D129" s="89" t="str">
        <f t="shared" si="18"/>
        <v>0月</v>
      </c>
      <c r="E129" s="89" t="str">
        <f t="shared" si="18"/>
        <v>1月</v>
      </c>
      <c r="F129" s="89" t="str">
        <f t="shared" si="18"/>
        <v>2月</v>
      </c>
      <c r="G129" s="89" t="str">
        <f t="shared" si="18"/>
        <v>3月</v>
      </c>
      <c r="H129" s="89" t="str">
        <f t="shared" si="18"/>
        <v>4月</v>
      </c>
      <c r="I129" s="89" t="str">
        <f t="shared" si="18"/>
        <v>5月</v>
      </c>
      <c r="J129" s="89" t="str">
        <f t="shared" si="18"/>
        <v>6月</v>
      </c>
      <c r="K129" s="89" t="str">
        <f t="shared" si="18"/>
        <v>7月</v>
      </c>
      <c r="L129" s="89" t="str">
        <f t="shared" si="18"/>
        <v>8月</v>
      </c>
      <c r="M129" s="89" t="str">
        <f t="shared" si="18"/>
        <v>9月</v>
      </c>
      <c r="N129" s="89" t="str">
        <f t="shared" si="18"/>
        <v>10月</v>
      </c>
      <c r="O129" s="89" t="str">
        <f t="shared" si="18"/>
        <v>11月</v>
      </c>
      <c r="P129" s="89" t="str">
        <f t="shared" si="18"/>
        <v>12月</v>
      </c>
    </row>
    <row r="130" spans="2:16" x14ac:dyDescent="0.25">
      <c r="B130" s="91" t="str">
        <f t="shared" ref="B130:C141" si="19">B114</f>
        <v>1月</v>
      </c>
      <c r="C130" s="91">
        <f t="shared" si="19"/>
        <v>80</v>
      </c>
      <c r="D130" s="171"/>
      <c r="E130" s="173">
        <f t="shared" ref="E130:P130" si="20">E114/$C$114</f>
        <v>0.97499999999999998</v>
      </c>
      <c r="F130" s="173">
        <f t="shared" si="20"/>
        <v>0.9375</v>
      </c>
      <c r="G130" s="173">
        <f t="shared" si="20"/>
        <v>0.9</v>
      </c>
      <c r="H130" s="173">
        <f t="shared" si="20"/>
        <v>0.875</v>
      </c>
      <c r="I130" s="173">
        <f t="shared" si="20"/>
        <v>0.86250000000000004</v>
      </c>
      <c r="J130" s="173">
        <f t="shared" si="20"/>
        <v>0.83750000000000002</v>
      </c>
      <c r="K130" s="173">
        <f t="shared" si="20"/>
        <v>0.82499999999999996</v>
      </c>
      <c r="L130" s="173">
        <f t="shared" si="20"/>
        <v>0.82499999999999996</v>
      </c>
      <c r="M130" s="173">
        <f t="shared" si="20"/>
        <v>0.8125</v>
      </c>
      <c r="N130" s="173">
        <f t="shared" si="20"/>
        <v>0.8</v>
      </c>
      <c r="O130" s="173">
        <f t="shared" si="20"/>
        <v>0.78749999999999998</v>
      </c>
      <c r="P130" s="173">
        <f t="shared" si="20"/>
        <v>0.78749999999999998</v>
      </c>
    </row>
    <row r="131" spans="2:16" x14ac:dyDescent="0.25">
      <c r="B131" s="91" t="str">
        <f t="shared" si="19"/>
        <v>2月</v>
      </c>
      <c r="C131" s="91">
        <f t="shared" si="19"/>
        <v>88</v>
      </c>
      <c r="D131" s="92"/>
      <c r="E131" s="173">
        <f t="shared" ref="E131:O131" si="21">F115/$C$131</f>
        <v>1</v>
      </c>
      <c r="F131" s="171">
        <f t="shared" si="21"/>
        <v>0.97727272727272729</v>
      </c>
      <c r="G131" s="171">
        <f t="shared" si="21"/>
        <v>0.93181818181818177</v>
      </c>
      <c r="H131" s="171">
        <f t="shared" si="21"/>
        <v>0.88636363636363635</v>
      </c>
      <c r="I131" s="171">
        <f t="shared" si="21"/>
        <v>0.875</v>
      </c>
      <c r="J131" s="171">
        <f t="shared" si="21"/>
        <v>0.86363636363636365</v>
      </c>
      <c r="K131" s="171">
        <f t="shared" si="21"/>
        <v>0.82954545454545459</v>
      </c>
      <c r="L131" s="171">
        <f t="shared" si="21"/>
        <v>0.81818181818181823</v>
      </c>
      <c r="M131" s="171">
        <f t="shared" si="21"/>
        <v>0.79545454545454541</v>
      </c>
      <c r="N131" s="171">
        <f t="shared" si="21"/>
        <v>0.79545454545454541</v>
      </c>
      <c r="O131" s="171">
        <f t="shared" si="21"/>
        <v>0.77272727272727271</v>
      </c>
      <c r="P131" s="171"/>
    </row>
    <row r="132" spans="2:16" x14ac:dyDescent="0.25">
      <c r="B132" s="91" t="str">
        <f t="shared" si="19"/>
        <v>3月</v>
      </c>
      <c r="C132" s="91">
        <f t="shared" si="19"/>
        <v>105</v>
      </c>
      <c r="D132" s="92"/>
      <c r="E132" s="173">
        <f t="shared" ref="E132:N132" si="22">G116/$C$132</f>
        <v>0.98095238095238091</v>
      </c>
      <c r="F132" s="171">
        <f t="shared" si="22"/>
        <v>0.98095238095238091</v>
      </c>
      <c r="G132" s="171">
        <f t="shared" si="22"/>
        <v>0.93333333333333335</v>
      </c>
      <c r="H132" s="171">
        <f t="shared" si="22"/>
        <v>0.89523809523809528</v>
      </c>
      <c r="I132" s="171">
        <f t="shared" si="22"/>
        <v>0.87619047619047619</v>
      </c>
      <c r="J132" s="171">
        <f t="shared" si="22"/>
        <v>0.8571428571428571</v>
      </c>
      <c r="K132" s="171">
        <f t="shared" si="22"/>
        <v>0.81904761904761902</v>
      </c>
      <c r="L132" s="171">
        <f t="shared" si="22"/>
        <v>0.78095238095238095</v>
      </c>
      <c r="M132" s="171">
        <f t="shared" si="22"/>
        <v>0.77142857142857146</v>
      </c>
      <c r="N132" s="171">
        <f t="shared" si="22"/>
        <v>0.76190476190476186</v>
      </c>
      <c r="O132" s="171"/>
      <c r="P132" s="171"/>
    </row>
    <row r="133" spans="2:16" x14ac:dyDescent="0.25">
      <c r="B133" s="91" t="str">
        <f t="shared" si="19"/>
        <v>4月</v>
      </c>
      <c r="C133" s="91">
        <f t="shared" si="19"/>
        <v>110</v>
      </c>
      <c r="D133" s="92"/>
      <c r="E133" s="173">
        <f t="shared" ref="E133:M133" si="23">H117/$C$133</f>
        <v>0.97272727272727277</v>
      </c>
      <c r="F133" s="171">
        <f t="shared" si="23"/>
        <v>0.96363636363636362</v>
      </c>
      <c r="G133" s="171">
        <f t="shared" si="23"/>
        <v>0.92727272727272725</v>
      </c>
      <c r="H133" s="171">
        <f t="shared" si="23"/>
        <v>0.9</v>
      </c>
      <c r="I133" s="171">
        <f t="shared" si="23"/>
        <v>0.88181818181818183</v>
      </c>
      <c r="J133" s="171">
        <f t="shared" si="23"/>
        <v>0.83636363636363631</v>
      </c>
      <c r="K133" s="171">
        <f t="shared" si="23"/>
        <v>0.81818181818181823</v>
      </c>
      <c r="L133" s="171">
        <f t="shared" si="23"/>
        <v>0.8</v>
      </c>
      <c r="M133" s="171">
        <f t="shared" si="23"/>
        <v>0.79090909090909089</v>
      </c>
      <c r="N133" s="171"/>
      <c r="O133" s="171"/>
      <c r="P133" s="171"/>
    </row>
    <row r="134" spans="2:16" x14ac:dyDescent="0.25">
      <c r="B134" s="91" t="str">
        <f t="shared" si="19"/>
        <v>5月</v>
      </c>
      <c r="C134" s="91">
        <f t="shared" si="19"/>
        <v>115</v>
      </c>
      <c r="D134" s="92"/>
      <c r="E134" s="173">
        <f t="shared" ref="E134:L134" si="24">I118/$C$134</f>
        <v>0.99130434782608701</v>
      </c>
      <c r="F134" s="171">
        <f t="shared" si="24"/>
        <v>0.97391304347826091</v>
      </c>
      <c r="G134" s="171">
        <f t="shared" si="24"/>
        <v>0.91304347826086951</v>
      </c>
      <c r="H134" s="171">
        <f t="shared" si="24"/>
        <v>0.85217391304347823</v>
      </c>
      <c r="I134" s="171">
        <f t="shared" si="24"/>
        <v>0.84347826086956523</v>
      </c>
      <c r="J134" s="171">
        <f t="shared" si="24"/>
        <v>0.83478260869565213</v>
      </c>
      <c r="K134" s="171">
        <f t="shared" si="24"/>
        <v>0.83478260869565213</v>
      </c>
      <c r="L134" s="171">
        <f t="shared" si="24"/>
        <v>0.8</v>
      </c>
      <c r="M134" s="171"/>
      <c r="N134" s="171"/>
      <c r="O134" s="171"/>
      <c r="P134" s="171"/>
    </row>
    <row r="135" spans="2:16" x14ac:dyDescent="0.25">
      <c r="B135" s="91" t="str">
        <f t="shared" si="19"/>
        <v>6月</v>
      </c>
      <c r="C135" s="91">
        <f t="shared" si="19"/>
        <v>128</v>
      </c>
      <c r="D135" s="92"/>
      <c r="E135" s="173">
        <f t="shared" ref="E135:K135" si="25">J119/$C$135</f>
        <v>1</v>
      </c>
      <c r="F135" s="171">
        <f t="shared" si="25"/>
        <v>0.953125</v>
      </c>
      <c r="G135" s="171">
        <f t="shared" si="25"/>
        <v>0.9296875</v>
      </c>
      <c r="H135" s="171">
        <f t="shared" si="25"/>
        <v>0.8984375</v>
      </c>
      <c r="I135" s="171">
        <f t="shared" si="25"/>
        <v>0.859375</v>
      </c>
      <c r="J135" s="171">
        <f t="shared" si="25"/>
        <v>0.8515625</v>
      </c>
      <c r="K135" s="171">
        <f t="shared" si="25"/>
        <v>0.8203125</v>
      </c>
      <c r="L135" s="171"/>
      <c r="M135" s="171"/>
      <c r="N135" s="171"/>
      <c r="O135" s="171"/>
      <c r="P135" s="171"/>
    </row>
    <row r="136" spans="2:16" x14ac:dyDescent="0.25">
      <c r="B136" s="91" t="str">
        <f t="shared" si="19"/>
        <v>7月</v>
      </c>
      <c r="C136" s="91">
        <f t="shared" si="19"/>
        <v>137</v>
      </c>
      <c r="D136" s="92"/>
      <c r="E136" s="173">
        <f t="shared" ref="E136:J136" si="26">K120/$C$136</f>
        <v>0.99270072992700731</v>
      </c>
      <c r="F136" s="171">
        <f t="shared" si="26"/>
        <v>0.94160583941605835</v>
      </c>
      <c r="G136" s="171">
        <f t="shared" si="26"/>
        <v>0.89051094890510951</v>
      </c>
      <c r="H136" s="171">
        <f t="shared" si="26"/>
        <v>0.86131386861313863</v>
      </c>
      <c r="I136" s="171">
        <f t="shared" si="26"/>
        <v>0.84671532846715325</v>
      </c>
      <c r="J136" s="171">
        <f t="shared" si="26"/>
        <v>0.83211678832116787</v>
      </c>
      <c r="K136" s="171"/>
      <c r="L136" s="171"/>
      <c r="M136" s="171"/>
      <c r="N136" s="171"/>
      <c r="O136" s="171"/>
      <c r="P136" s="171"/>
    </row>
    <row r="137" spans="2:16" x14ac:dyDescent="0.25">
      <c r="B137" s="91" t="str">
        <f t="shared" si="19"/>
        <v>8月</v>
      </c>
      <c r="C137" s="91">
        <f t="shared" si="19"/>
        <v>151</v>
      </c>
      <c r="D137" s="92"/>
      <c r="E137" s="173">
        <f>L121/$C$137</f>
        <v>0.98675496688741726</v>
      </c>
      <c r="F137" s="171">
        <f>M121/$C$137</f>
        <v>0.96026490066225167</v>
      </c>
      <c r="G137" s="171">
        <f>N121/$C$137</f>
        <v>0.89403973509933776</v>
      </c>
      <c r="H137" s="171">
        <f>O121/$C$137</f>
        <v>0.88079470198675491</v>
      </c>
      <c r="I137" s="171">
        <f>P121/$C$137</f>
        <v>0.86092715231788075</v>
      </c>
      <c r="J137" s="171"/>
      <c r="K137" s="171"/>
      <c r="L137" s="171"/>
      <c r="M137" s="171"/>
      <c r="N137" s="171"/>
      <c r="O137" s="171"/>
      <c r="P137" s="171"/>
    </row>
    <row r="138" spans="2:16" x14ac:dyDescent="0.25">
      <c r="B138" s="91" t="str">
        <f t="shared" si="19"/>
        <v>9月</v>
      </c>
      <c r="C138" s="91">
        <f t="shared" si="19"/>
        <v>161</v>
      </c>
      <c r="D138" s="92"/>
      <c r="E138" s="173">
        <f>M122/$C$138</f>
        <v>0.98136645962732916</v>
      </c>
      <c r="F138" s="171">
        <f>N122/$C$138</f>
        <v>0.95652173913043481</v>
      </c>
      <c r="G138" s="171">
        <f>O122/$C$138</f>
        <v>0.93788819875776397</v>
      </c>
      <c r="H138" s="171">
        <f>P122/$C$138</f>
        <v>0.93167701863354035</v>
      </c>
      <c r="I138" s="171"/>
      <c r="J138" s="171"/>
      <c r="K138" s="171"/>
      <c r="L138" s="171"/>
      <c r="M138" s="171"/>
      <c r="N138" s="171"/>
      <c r="O138" s="171"/>
      <c r="P138" s="171"/>
    </row>
    <row r="139" spans="2:16" x14ac:dyDescent="0.25">
      <c r="B139" s="91" t="str">
        <f t="shared" si="19"/>
        <v>10月</v>
      </c>
      <c r="C139" s="91">
        <f t="shared" si="19"/>
        <v>168</v>
      </c>
      <c r="D139" s="92"/>
      <c r="E139" s="173">
        <f>N123/$C$139</f>
        <v>0.95833333333333337</v>
      </c>
      <c r="F139" s="171">
        <f>O123/$C$139</f>
        <v>0.94047619047619047</v>
      </c>
      <c r="G139" s="171">
        <f>P123/$C$139</f>
        <v>0.89880952380952384</v>
      </c>
      <c r="H139" s="171"/>
      <c r="I139" s="171"/>
      <c r="J139" s="171"/>
      <c r="K139" s="171"/>
      <c r="L139" s="171"/>
      <c r="M139" s="171"/>
      <c r="N139" s="171"/>
      <c r="O139" s="171"/>
      <c r="P139" s="171"/>
    </row>
    <row r="140" spans="2:16" x14ac:dyDescent="0.25">
      <c r="B140" s="91" t="str">
        <f t="shared" si="19"/>
        <v>11月</v>
      </c>
      <c r="C140" s="91">
        <f t="shared" si="19"/>
        <v>170</v>
      </c>
      <c r="D140" s="92"/>
      <c r="E140" s="173">
        <f>O124/$C$140</f>
        <v>0.97647058823529409</v>
      </c>
      <c r="F140" s="171">
        <f>P124/$C$140</f>
        <v>0.97058823529411764</v>
      </c>
      <c r="G140" s="171"/>
      <c r="H140" s="171"/>
      <c r="I140" s="171"/>
      <c r="J140" s="171"/>
      <c r="K140" s="171"/>
      <c r="L140" s="171"/>
      <c r="M140" s="171"/>
      <c r="N140" s="171"/>
      <c r="O140" s="171"/>
      <c r="P140" s="171"/>
    </row>
    <row r="141" spans="2:16" x14ac:dyDescent="0.25">
      <c r="B141" s="91" t="str">
        <f t="shared" si="19"/>
        <v>12月</v>
      </c>
      <c r="C141" s="91">
        <f t="shared" si="19"/>
        <v>177</v>
      </c>
      <c r="D141" s="92"/>
      <c r="E141" s="173">
        <f>P125/$C$141</f>
        <v>0.99435028248587576</v>
      </c>
      <c r="F141" s="171"/>
      <c r="G141" s="171"/>
      <c r="H141" s="171"/>
      <c r="I141" s="171"/>
      <c r="J141" s="171"/>
      <c r="K141" s="171"/>
      <c r="L141" s="171"/>
      <c r="M141" s="171"/>
      <c r="N141" s="171"/>
      <c r="O141" s="171"/>
      <c r="P141" s="171"/>
    </row>
    <row r="142" spans="2:16" x14ac:dyDescent="0.25">
      <c r="B142" s="355"/>
      <c r="C142" s="356"/>
      <c r="D142" s="170">
        <f>SUM(D130:D141)</f>
        <v>0</v>
      </c>
      <c r="E142" s="172">
        <f t="shared" ref="E142:P142" si="27">AVERAGE(E130:E141)</f>
        <v>0.98416336350016653</v>
      </c>
      <c r="F142" s="172">
        <f t="shared" si="27"/>
        <v>0.95962331093807129</v>
      </c>
      <c r="G142" s="172">
        <f t="shared" si="27"/>
        <v>0.91564036272568461</v>
      </c>
      <c r="H142" s="172">
        <f t="shared" si="27"/>
        <v>0.88677763709762703</v>
      </c>
      <c r="I142" s="172">
        <f t="shared" si="27"/>
        <v>0.86325054995790729</v>
      </c>
      <c r="J142" s="172">
        <f t="shared" si="27"/>
        <v>0.84472925059423953</v>
      </c>
      <c r="K142" s="172">
        <f t="shared" si="27"/>
        <v>0.82447833341175736</v>
      </c>
      <c r="L142" s="172">
        <f t="shared" si="27"/>
        <v>0.80482683982683978</v>
      </c>
      <c r="M142" s="172">
        <f t="shared" si="27"/>
        <v>0.79257305194805194</v>
      </c>
      <c r="N142" s="172">
        <f t="shared" si="27"/>
        <v>0.78578643578643581</v>
      </c>
      <c r="O142" s="172">
        <f t="shared" si="27"/>
        <v>0.78011363636363629</v>
      </c>
      <c r="P142" s="172">
        <f t="shared" si="27"/>
        <v>0.78749999999999998</v>
      </c>
    </row>
    <row r="143" spans="2:16" x14ac:dyDescent="0.25">
      <c r="B143" s="169"/>
      <c r="C143" s="169"/>
      <c r="D143" s="169"/>
      <c r="E143" s="169"/>
      <c r="F143" s="169"/>
      <c r="G143" s="169"/>
      <c r="H143" s="169"/>
      <c r="I143" s="169"/>
      <c r="J143" s="169"/>
      <c r="K143" s="169"/>
      <c r="L143" s="169"/>
      <c r="M143" s="169"/>
      <c r="N143" s="169"/>
      <c r="O143" s="169"/>
      <c r="P143" s="169"/>
    </row>
    <row r="144" spans="2:16" x14ac:dyDescent="0.25">
      <c r="B144" s="95" t="s">
        <v>374</v>
      </c>
      <c r="C144" s="89"/>
      <c r="D144" s="360" t="s">
        <v>309</v>
      </c>
      <c r="E144" s="361"/>
      <c r="F144" s="361"/>
      <c r="G144" s="361"/>
      <c r="H144" s="361"/>
      <c r="I144" s="361"/>
      <c r="J144" s="361"/>
      <c r="K144" s="361"/>
      <c r="L144" s="361"/>
      <c r="M144" s="361"/>
      <c r="N144" s="361"/>
      <c r="O144" s="361"/>
      <c r="P144" s="362"/>
    </row>
    <row r="145" spans="2:16" x14ac:dyDescent="0.25">
      <c r="B145" s="89" t="str">
        <f>B113</f>
        <v>月份</v>
      </c>
      <c r="C145" s="89" t="str">
        <f>C113</f>
        <v>新增用户</v>
      </c>
      <c r="D145" s="89" t="str">
        <f t="shared" ref="D145:P145" si="28">D129</f>
        <v>0月</v>
      </c>
      <c r="E145" s="89" t="str">
        <f t="shared" si="28"/>
        <v>1月</v>
      </c>
      <c r="F145" s="89" t="str">
        <f t="shared" si="28"/>
        <v>2月</v>
      </c>
      <c r="G145" s="89" t="str">
        <f t="shared" si="28"/>
        <v>3月</v>
      </c>
      <c r="H145" s="89" t="str">
        <f t="shared" si="28"/>
        <v>4月</v>
      </c>
      <c r="I145" s="89" t="str">
        <f t="shared" si="28"/>
        <v>5月</v>
      </c>
      <c r="J145" s="89" t="str">
        <f t="shared" si="28"/>
        <v>6月</v>
      </c>
      <c r="K145" s="89" t="str">
        <f t="shared" si="28"/>
        <v>7月</v>
      </c>
      <c r="L145" s="89" t="str">
        <f t="shared" si="28"/>
        <v>8月</v>
      </c>
      <c r="M145" s="89" t="str">
        <f t="shared" si="28"/>
        <v>9月</v>
      </c>
      <c r="N145" s="89" t="str">
        <f t="shared" si="28"/>
        <v>10月</v>
      </c>
      <c r="O145" s="89" t="str">
        <f t="shared" si="28"/>
        <v>11月</v>
      </c>
      <c r="P145" s="89" t="str">
        <f t="shared" si="28"/>
        <v>12月</v>
      </c>
    </row>
    <row r="146" spans="2:16" x14ac:dyDescent="0.25">
      <c r="B146" s="91" t="str">
        <f t="shared" ref="B146:C157" si="29">B130</f>
        <v>1月</v>
      </c>
      <c r="C146" s="91">
        <f t="shared" si="29"/>
        <v>80</v>
      </c>
      <c r="D146" s="171"/>
      <c r="E146" s="171">
        <f>($C$114-E114)/$C$114</f>
        <v>2.5000000000000001E-2</v>
      </c>
      <c r="F146" s="171">
        <f t="shared" ref="F146:P146" si="30">(E114-F114)/E114</f>
        <v>3.8461538461538464E-2</v>
      </c>
      <c r="G146" s="171">
        <f t="shared" si="30"/>
        <v>0.04</v>
      </c>
      <c r="H146" s="171">
        <f t="shared" si="30"/>
        <v>2.7777777777777776E-2</v>
      </c>
      <c r="I146" s="171">
        <f t="shared" si="30"/>
        <v>1.4285714285714285E-2</v>
      </c>
      <c r="J146" s="171">
        <f t="shared" si="30"/>
        <v>2.8985507246376812E-2</v>
      </c>
      <c r="K146" s="171">
        <f t="shared" si="30"/>
        <v>1.4925373134328358E-2</v>
      </c>
      <c r="L146" s="171">
        <f t="shared" si="30"/>
        <v>0</v>
      </c>
      <c r="M146" s="171">
        <f t="shared" si="30"/>
        <v>1.5151515151515152E-2</v>
      </c>
      <c r="N146" s="171">
        <f t="shared" si="30"/>
        <v>1.5384615384615385E-2</v>
      </c>
      <c r="O146" s="171">
        <f t="shared" si="30"/>
        <v>1.5625E-2</v>
      </c>
      <c r="P146" s="171">
        <f t="shared" si="30"/>
        <v>0</v>
      </c>
    </row>
    <row r="147" spans="2:16" x14ac:dyDescent="0.25">
      <c r="B147" s="91" t="str">
        <f t="shared" si="29"/>
        <v>2月</v>
      </c>
      <c r="C147" s="91">
        <f t="shared" si="29"/>
        <v>88</v>
      </c>
      <c r="D147" s="92"/>
      <c r="E147" s="171">
        <f>(C115-F115)/C115</f>
        <v>0</v>
      </c>
      <c r="F147" s="171">
        <f t="shared" ref="F147:O147" si="31">(F115-G115)/F115</f>
        <v>2.2727272727272728E-2</v>
      </c>
      <c r="G147" s="171">
        <f t="shared" si="31"/>
        <v>4.6511627906976744E-2</v>
      </c>
      <c r="H147" s="171">
        <f t="shared" si="31"/>
        <v>4.878048780487805E-2</v>
      </c>
      <c r="I147" s="171">
        <f t="shared" si="31"/>
        <v>1.282051282051282E-2</v>
      </c>
      <c r="J147" s="171">
        <f t="shared" si="31"/>
        <v>1.2987012987012988E-2</v>
      </c>
      <c r="K147" s="171">
        <f t="shared" si="31"/>
        <v>3.9473684210526314E-2</v>
      </c>
      <c r="L147" s="171">
        <f t="shared" si="31"/>
        <v>1.3698630136986301E-2</v>
      </c>
      <c r="M147" s="171">
        <f t="shared" si="31"/>
        <v>2.7777777777777776E-2</v>
      </c>
      <c r="N147" s="171">
        <f t="shared" si="31"/>
        <v>0</v>
      </c>
      <c r="O147" s="171">
        <f t="shared" si="31"/>
        <v>2.8571428571428571E-2</v>
      </c>
      <c r="P147" s="171"/>
    </row>
    <row r="148" spans="2:16" x14ac:dyDescent="0.25">
      <c r="B148" s="91" t="str">
        <f t="shared" si="29"/>
        <v>3月</v>
      </c>
      <c r="C148" s="91">
        <f t="shared" si="29"/>
        <v>105</v>
      </c>
      <c r="D148" s="92"/>
      <c r="E148" s="171">
        <f>(C116-G116)/C116</f>
        <v>1.9047619047619049E-2</v>
      </c>
      <c r="F148" s="171">
        <f t="shared" ref="F148:N148" si="32">(G116-H116)/G116</f>
        <v>0</v>
      </c>
      <c r="G148" s="171">
        <f t="shared" si="32"/>
        <v>4.8543689320388349E-2</v>
      </c>
      <c r="H148" s="171">
        <f t="shared" si="32"/>
        <v>4.0816326530612242E-2</v>
      </c>
      <c r="I148" s="171">
        <f t="shared" si="32"/>
        <v>2.1276595744680851E-2</v>
      </c>
      <c r="J148" s="171">
        <f t="shared" si="32"/>
        <v>2.1739130434782608E-2</v>
      </c>
      <c r="K148" s="171">
        <f t="shared" si="32"/>
        <v>4.4444444444444446E-2</v>
      </c>
      <c r="L148" s="171">
        <f t="shared" si="32"/>
        <v>4.6511627906976744E-2</v>
      </c>
      <c r="M148" s="171">
        <f t="shared" si="32"/>
        <v>1.2195121951219513E-2</v>
      </c>
      <c r="N148" s="171">
        <f t="shared" si="32"/>
        <v>1.2345679012345678E-2</v>
      </c>
      <c r="O148" s="171"/>
      <c r="P148" s="171"/>
    </row>
    <row r="149" spans="2:16" x14ac:dyDescent="0.25">
      <c r="B149" s="91" t="str">
        <f t="shared" si="29"/>
        <v>4月</v>
      </c>
      <c r="C149" s="91">
        <f t="shared" si="29"/>
        <v>110</v>
      </c>
      <c r="D149" s="92"/>
      <c r="E149" s="171">
        <f>(C117-H117)/C117</f>
        <v>2.7272727272727271E-2</v>
      </c>
      <c r="F149" s="171">
        <f t="shared" ref="F149:M149" si="33">(H117-I117)/H117</f>
        <v>9.3457943925233638E-3</v>
      </c>
      <c r="G149" s="171">
        <f t="shared" si="33"/>
        <v>3.7735849056603772E-2</v>
      </c>
      <c r="H149" s="171">
        <f t="shared" si="33"/>
        <v>2.9411764705882353E-2</v>
      </c>
      <c r="I149" s="171">
        <f t="shared" si="33"/>
        <v>2.0202020202020204E-2</v>
      </c>
      <c r="J149" s="171">
        <f t="shared" si="33"/>
        <v>5.1546391752577317E-2</v>
      </c>
      <c r="K149" s="171">
        <f t="shared" si="33"/>
        <v>2.1739130434782608E-2</v>
      </c>
      <c r="L149" s="171">
        <f t="shared" si="33"/>
        <v>2.2222222222222223E-2</v>
      </c>
      <c r="M149" s="171">
        <f t="shared" si="33"/>
        <v>1.1363636363636364E-2</v>
      </c>
      <c r="N149" s="171"/>
      <c r="O149" s="171"/>
      <c r="P149" s="171"/>
    </row>
    <row r="150" spans="2:16" x14ac:dyDescent="0.25">
      <c r="B150" s="91" t="str">
        <f t="shared" si="29"/>
        <v>5月</v>
      </c>
      <c r="C150" s="91">
        <f t="shared" si="29"/>
        <v>115</v>
      </c>
      <c r="D150" s="92"/>
      <c r="E150" s="171">
        <f>(C118-I118)/C118</f>
        <v>8.6956521739130436E-3</v>
      </c>
      <c r="F150" s="171">
        <f t="shared" ref="F150:L150" si="34">(I118-J118)/I118</f>
        <v>1.7543859649122806E-2</v>
      </c>
      <c r="G150" s="171">
        <f t="shared" si="34"/>
        <v>6.25E-2</v>
      </c>
      <c r="H150" s="171">
        <f t="shared" si="34"/>
        <v>6.6666666666666666E-2</v>
      </c>
      <c r="I150" s="171">
        <f t="shared" si="34"/>
        <v>1.020408163265306E-2</v>
      </c>
      <c r="J150" s="171">
        <f t="shared" si="34"/>
        <v>1.0309278350515464E-2</v>
      </c>
      <c r="K150" s="171">
        <f t="shared" si="34"/>
        <v>0</v>
      </c>
      <c r="L150" s="171">
        <f t="shared" si="34"/>
        <v>4.1666666666666664E-2</v>
      </c>
      <c r="M150" s="171"/>
      <c r="N150" s="171"/>
      <c r="O150" s="171"/>
      <c r="P150" s="171"/>
    </row>
    <row r="151" spans="2:16" x14ac:dyDescent="0.25">
      <c r="B151" s="91" t="str">
        <f t="shared" si="29"/>
        <v>6月</v>
      </c>
      <c r="C151" s="91">
        <f t="shared" si="29"/>
        <v>128</v>
      </c>
      <c r="D151" s="92"/>
      <c r="E151" s="171">
        <f>(C119-J119)/C119</f>
        <v>0</v>
      </c>
      <c r="F151" s="171">
        <f t="shared" ref="F151:K151" si="35">(J119-K119)/J119</f>
        <v>4.6875E-2</v>
      </c>
      <c r="G151" s="171">
        <f t="shared" si="35"/>
        <v>2.4590163934426229E-2</v>
      </c>
      <c r="H151" s="171">
        <f t="shared" si="35"/>
        <v>3.3613445378151259E-2</v>
      </c>
      <c r="I151" s="171">
        <f t="shared" si="35"/>
        <v>4.3478260869565216E-2</v>
      </c>
      <c r="J151" s="171">
        <f t="shared" si="35"/>
        <v>9.0909090909090905E-3</v>
      </c>
      <c r="K151" s="171">
        <f t="shared" si="35"/>
        <v>3.669724770642202E-2</v>
      </c>
      <c r="L151" s="171"/>
      <c r="M151" s="171"/>
      <c r="N151" s="171"/>
      <c r="O151" s="171"/>
      <c r="P151" s="171"/>
    </row>
    <row r="152" spans="2:16" x14ac:dyDescent="0.25">
      <c r="B152" s="91" t="str">
        <f t="shared" si="29"/>
        <v>7月</v>
      </c>
      <c r="C152" s="91">
        <f t="shared" si="29"/>
        <v>137</v>
      </c>
      <c r="D152" s="92"/>
      <c r="E152" s="171">
        <f>(C120-K120)/C120</f>
        <v>7.2992700729927005E-3</v>
      </c>
      <c r="F152" s="171">
        <f>(K120-L120)/K120</f>
        <v>5.1470588235294115E-2</v>
      </c>
      <c r="G152" s="171">
        <f>(L120-M120)/L120</f>
        <v>5.4263565891472867E-2</v>
      </c>
      <c r="H152" s="171">
        <f>(M120-N120)/M120</f>
        <v>3.2786885245901641E-2</v>
      </c>
      <c r="I152" s="171">
        <f>(N120-O120)/N120</f>
        <v>1.6949152542372881E-2</v>
      </c>
      <c r="J152" s="171">
        <f>(O120-P120)/O120</f>
        <v>1.7241379310344827E-2</v>
      </c>
      <c r="K152" s="171"/>
      <c r="L152" s="171"/>
      <c r="M152" s="171"/>
      <c r="N152" s="171"/>
      <c r="O152" s="171"/>
      <c r="P152" s="171"/>
    </row>
    <row r="153" spans="2:16" x14ac:dyDescent="0.25">
      <c r="B153" s="91" t="str">
        <f t="shared" si="29"/>
        <v>8月</v>
      </c>
      <c r="C153" s="91">
        <f t="shared" si="29"/>
        <v>151</v>
      </c>
      <c r="D153" s="92"/>
      <c r="E153" s="171">
        <f>(C121-L121)/C121</f>
        <v>1.3245033112582781E-2</v>
      </c>
      <c r="F153" s="171">
        <f>(L121-M121)/L121</f>
        <v>2.6845637583892617E-2</v>
      </c>
      <c r="G153" s="171">
        <f>(M121-N121)/M121</f>
        <v>6.8965517241379309E-2</v>
      </c>
      <c r="H153" s="171">
        <f>(N121-O121)/N121</f>
        <v>1.4814814814814815E-2</v>
      </c>
      <c r="I153" s="171">
        <f>(O121-P121)/O121</f>
        <v>2.2556390977443608E-2</v>
      </c>
      <c r="J153" s="171"/>
      <c r="K153" s="171"/>
      <c r="L153" s="171"/>
      <c r="M153" s="171"/>
      <c r="N153" s="171"/>
      <c r="O153" s="171"/>
      <c r="P153" s="171"/>
    </row>
    <row r="154" spans="2:16" x14ac:dyDescent="0.25">
      <c r="B154" s="91" t="str">
        <f t="shared" si="29"/>
        <v>9月</v>
      </c>
      <c r="C154" s="91">
        <f t="shared" si="29"/>
        <v>161</v>
      </c>
      <c r="D154" s="92"/>
      <c r="E154" s="171">
        <f>(C122-M122)/C122</f>
        <v>1.8633540372670808E-2</v>
      </c>
      <c r="F154" s="171">
        <f>(M122-N122)/M122</f>
        <v>2.5316455696202531E-2</v>
      </c>
      <c r="G154" s="171">
        <f>(N122-O122)/N122</f>
        <v>1.948051948051948E-2</v>
      </c>
      <c r="H154" s="171">
        <f>(O122-P122)/O122</f>
        <v>6.6225165562913907E-3</v>
      </c>
      <c r="I154" s="171"/>
      <c r="J154" s="171"/>
      <c r="K154" s="171"/>
      <c r="L154" s="171"/>
      <c r="M154" s="171"/>
      <c r="N154" s="171"/>
      <c r="O154" s="171"/>
      <c r="P154" s="171"/>
    </row>
    <row r="155" spans="2:16" x14ac:dyDescent="0.25">
      <c r="B155" s="91" t="str">
        <f t="shared" si="29"/>
        <v>10月</v>
      </c>
      <c r="C155" s="91">
        <f t="shared" si="29"/>
        <v>168</v>
      </c>
      <c r="D155" s="92"/>
      <c r="E155" s="171">
        <f>(C123-N123)/C123</f>
        <v>4.1666666666666664E-2</v>
      </c>
      <c r="F155" s="171">
        <f>(N123-O123)/N123</f>
        <v>1.8633540372670808E-2</v>
      </c>
      <c r="G155" s="171">
        <f>(O123-P123)/O123</f>
        <v>4.4303797468354431E-2</v>
      </c>
      <c r="H155" s="171"/>
      <c r="I155" s="171"/>
      <c r="J155" s="171"/>
      <c r="K155" s="171"/>
      <c r="L155" s="171"/>
      <c r="M155" s="171"/>
      <c r="N155" s="171"/>
      <c r="O155" s="171"/>
      <c r="P155" s="171"/>
    </row>
    <row r="156" spans="2:16" x14ac:dyDescent="0.25">
      <c r="B156" s="91" t="str">
        <f t="shared" si="29"/>
        <v>11月</v>
      </c>
      <c r="C156" s="91">
        <f t="shared" si="29"/>
        <v>170</v>
      </c>
      <c r="D156" s="92"/>
      <c r="E156" s="171">
        <f>(C124-O124)/C124</f>
        <v>2.3529411764705882E-2</v>
      </c>
      <c r="F156" s="171">
        <f>(O124-P124)/O124</f>
        <v>6.024096385542169E-3</v>
      </c>
      <c r="G156" s="171"/>
      <c r="H156" s="171"/>
      <c r="I156" s="171"/>
      <c r="J156" s="171"/>
      <c r="K156" s="171"/>
      <c r="L156" s="171"/>
      <c r="M156" s="171"/>
      <c r="N156" s="171"/>
      <c r="O156" s="171"/>
      <c r="P156" s="171"/>
    </row>
    <row r="157" spans="2:16" x14ac:dyDescent="0.25">
      <c r="B157" s="91" t="str">
        <f t="shared" si="29"/>
        <v>12月</v>
      </c>
      <c r="C157" s="91">
        <f t="shared" si="29"/>
        <v>177</v>
      </c>
      <c r="D157" s="92"/>
      <c r="E157" s="171">
        <f>(C125-P125)/C125</f>
        <v>5.6497175141242938E-3</v>
      </c>
      <c r="F157" s="171"/>
      <c r="G157" s="171"/>
      <c r="H157" s="171"/>
      <c r="I157" s="171"/>
      <c r="J157" s="171"/>
      <c r="K157" s="171"/>
      <c r="L157" s="171"/>
      <c r="M157" s="171"/>
      <c r="N157" s="171"/>
      <c r="O157" s="171"/>
      <c r="P157" s="171"/>
    </row>
    <row r="158" spans="2:16" x14ac:dyDescent="0.25">
      <c r="B158" s="355"/>
      <c r="C158" s="356"/>
      <c r="D158" s="170">
        <f>SUM(D146:D157)</f>
        <v>0</v>
      </c>
      <c r="E158" s="172">
        <f t="shared" ref="E158:P158" si="36">AVERAGE(E146:E157)</f>
        <v>1.583663649983354E-2</v>
      </c>
      <c r="F158" s="172">
        <f t="shared" si="36"/>
        <v>2.3931253045823598E-2</v>
      </c>
      <c r="G158" s="172">
        <f t="shared" si="36"/>
        <v>4.4689473030012125E-2</v>
      </c>
      <c r="H158" s="172">
        <f t="shared" si="36"/>
        <v>3.3476742831219569E-2</v>
      </c>
      <c r="I158" s="172">
        <f t="shared" si="36"/>
        <v>2.0221591134370366E-2</v>
      </c>
      <c r="J158" s="172">
        <f t="shared" si="36"/>
        <v>2.1699944167502733E-2</v>
      </c>
      <c r="K158" s="172">
        <f t="shared" si="36"/>
        <v>2.6213313321750625E-2</v>
      </c>
      <c r="L158" s="172">
        <f t="shared" si="36"/>
        <v>2.4819829386570385E-2</v>
      </c>
      <c r="M158" s="172">
        <f t="shared" si="36"/>
        <v>1.6622012811037201E-2</v>
      </c>
      <c r="N158" s="172">
        <f t="shared" si="36"/>
        <v>9.2434314656536874E-3</v>
      </c>
      <c r="O158" s="172">
        <f t="shared" si="36"/>
        <v>2.2098214285714284E-2</v>
      </c>
      <c r="P158" s="172">
        <f t="shared" si="36"/>
        <v>0</v>
      </c>
    </row>
    <row r="164" spans="1:14" x14ac:dyDescent="0.25">
      <c r="B164" s="184" t="s">
        <v>402</v>
      </c>
    </row>
    <row r="165" spans="1:14" x14ac:dyDescent="0.25">
      <c r="A165" s="182"/>
      <c r="B165" s="89" t="s">
        <v>387</v>
      </c>
      <c r="C165" s="89" t="s">
        <v>295</v>
      </c>
      <c r="D165" s="89" t="s">
        <v>296</v>
      </c>
      <c r="E165" s="89" t="s">
        <v>297</v>
      </c>
      <c r="F165" s="89" t="s">
        <v>298</v>
      </c>
      <c r="G165" s="89" t="s">
        <v>299</v>
      </c>
      <c r="H165" s="89" t="s">
        <v>300</v>
      </c>
      <c r="I165" s="89" t="s">
        <v>301</v>
      </c>
      <c r="J165" s="89" t="s">
        <v>302</v>
      </c>
      <c r="K165" s="89" t="s">
        <v>303</v>
      </c>
      <c r="L165" s="89" t="s">
        <v>304</v>
      </c>
      <c r="M165" s="89" t="s">
        <v>305</v>
      </c>
      <c r="N165" s="89" t="s">
        <v>306</v>
      </c>
    </row>
    <row r="166" spans="1:14" x14ac:dyDescent="0.25">
      <c r="A166" s="182"/>
      <c r="B166" s="180" t="s">
        <v>356</v>
      </c>
      <c r="C166" s="92">
        <f>SUM(C167:C171)</f>
        <v>50</v>
      </c>
      <c r="D166" s="92">
        <f t="shared" ref="D166:N166" si="37">SUM(D167:D171)</f>
        <v>110</v>
      </c>
      <c r="E166" s="92">
        <f t="shared" si="37"/>
        <v>122</v>
      </c>
      <c r="F166" s="92">
        <f t="shared" si="37"/>
        <v>134</v>
      </c>
      <c r="G166" s="92">
        <f t="shared" si="37"/>
        <v>146</v>
      </c>
      <c r="H166" s="92">
        <f t="shared" si="37"/>
        <v>158</v>
      </c>
      <c r="I166" s="92">
        <f t="shared" si="37"/>
        <v>170</v>
      </c>
      <c r="J166" s="92">
        <f t="shared" si="37"/>
        <v>182</v>
      </c>
      <c r="K166" s="92">
        <f t="shared" si="37"/>
        <v>194</v>
      </c>
      <c r="L166" s="92">
        <f t="shared" si="37"/>
        <v>206</v>
      </c>
      <c r="M166" s="92">
        <f t="shared" si="37"/>
        <v>218</v>
      </c>
      <c r="N166" s="92">
        <f t="shared" si="37"/>
        <v>230</v>
      </c>
    </row>
    <row r="167" spans="1:14" x14ac:dyDescent="0.25">
      <c r="A167" s="357" t="s">
        <v>400</v>
      </c>
      <c r="B167" s="180" t="s">
        <v>386</v>
      </c>
      <c r="C167" s="92">
        <v>50</v>
      </c>
      <c r="D167" s="92">
        <v>60</v>
      </c>
      <c r="E167" s="92">
        <v>70</v>
      </c>
      <c r="F167" s="92">
        <v>80</v>
      </c>
      <c r="G167" s="92">
        <v>90</v>
      </c>
      <c r="H167" s="92">
        <v>100</v>
      </c>
      <c r="I167" s="92">
        <v>110</v>
      </c>
      <c r="J167" s="92">
        <v>120</v>
      </c>
      <c r="K167" s="92">
        <v>130</v>
      </c>
      <c r="L167" s="92">
        <v>140</v>
      </c>
      <c r="M167" s="92">
        <v>150</v>
      </c>
      <c r="N167" s="92">
        <v>160</v>
      </c>
    </row>
    <row r="168" spans="1:14" x14ac:dyDescent="0.25">
      <c r="A168" s="359"/>
      <c r="B168" s="180" t="s">
        <v>382</v>
      </c>
      <c r="C168" s="92"/>
      <c r="D168" s="92">
        <v>20</v>
      </c>
      <c r="E168" s="92">
        <v>22</v>
      </c>
      <c r="F168" s="92">
        <v>24</v>
      </c>
      <c r="G168" s="92">
        <v>26</v>
      </c>
      <c r="H168" s="92">
        <v>28</v>
      </c>
      <c r="I168" s="92">
        <v>30</v>
      </c>
      <c r="J168" s="92">
        <v>32</v>
      </c>
      <c r="K168" s="92">
        <v>34</v>
      </c>
      <c r="L168" s="92">
        <v>36</v>
      </c>
      <c r="M168" s="92">
        <v>38</v>
      </c>
      <c r="N168" s="92">
        <v>40</v>
      </c>
    </row>
    <row r="169" spans="1:14" x14ac:dyDescent="0.25">
      <c r="A169" s="358"/>
      <c r="B169" s="180" t="s">
        <v>383</v>
      </c>
      <c r="C169" s="92"/>
      <c r="D169" s="92">
        <v>10</v>
      </c>
      <c r="E169" s="92">
        <v>10</v>
      </c>
      <c r="F169" s="92">
        <v>10</v>
      </c>
      <c r="G169" s="92">
        <v>10</v>
      </c>
      <c r="H169" s="92">
        <v>10</v>
      </c>
      <c r="I169" s="92">
        <v>10</v>
      </c>
      <c r="J169" s="92">
        <v>10</v>
      </c>
      <c r="K169" s="92">
        <v>10</v>
      </c>
      <c r="L169" s="92">
        <v>10</v>
      </c>
      <c r="M169" s="92">
        <v>10</v>
      </c>
      <c r="N169" s="92">
        <v>10</v>
      </c>
    </row>
    <row r="170" spans="1:14" x14ac:dyDescent="0.25">
      <c r="A170" s="357" t="s">
        <v>401</v>
      </c>
      <c r="B170" s="180" t="s">
        <v>384</v>
      </c>
      <c r="C170" s="92"/>
      <c r="D170" s="92">
        <v>10</v>
      </c>
      <c r="E170" s="92">
        <v>10</v>
      </c>
      <c r="F170" s="92">
        <v>10</v>
      </c>
      <c r="G170" s="92">
        <v>10</v>
      </c>
      <c r="H170" s="92">
        <v>10</v>
      </c>
      <c r="I170" s="92">
        <v>10</v>
      </c>
      <c r="J170" s="92">
        <v>10</v>
      </c>
      <c r="K170" s="92">
        <v>10</v>
      </c>
      <c r="L170" s="92">
        <v>10</v>
      </c>
      <c r="M170" s="92">
        <v>10</v>
      </c>
      <c r="N170" s="92">
        <v>10</v>
      </c>
    </row>
    <row r="171" spans="1:14" x14ac:dyDescent="0.25">
      <c r="A171" s="358"/>
      <c r="B171" s="180" t="s">
        <v>385</v>
      </c>
      <c r="C171" s="92"/>
      <c r="D171" s="92">
        <v>10</v>
      </c>
      <c r="E171" s="92">
        <v>10</v>
      </c>
      <c r="F171" s="92">
        <v>10</v>
      </c>
      <c r="G171" s="92">
        <v>10</v>
      </c>
      <c r="H171" s="92">
        <v>10</v>
      </c>
      <c r="I171" s="92">
        <v>10</v>
      </c>
      <c r="J171" s="92">
        <v>10</v>
      </c>
      <c r="K171" s="92">
        <v>10</v>
      </c>
      <c r="L171" s="92">
        <v>10</v>
      </c>
      <c r="M171" s="92">
        <v>10</v>
      </c>
      <c r="N171" s="92">
        <v>10</v>
      </c>
    </row>
    <row r="224" spans="14:15" x14ac:dyDescent="0.25">
      <c r="N224" s="169"/>
      <c r="O224" s="169"/>
    </row>
    <row r="225" spans="2:15" x14ac:dyDescent="0.25">
      <c r="B225" s="95" t="s">
        <v>399</v>
      </c>
      <c r="N225" s="169"/>
      <c r="O225" s="169"/>
    </row>
    <row r="226" spans="2:15" x14ac:dyDescent="0.25">
      <c r="N226" s="169"/>
      <c r="O226" s="169"/>
    </row>
    <row r="227" spans="2:15" x14ac:dyDescent="0.25">
      <c r="B227" s="95" t="s">
        <v>388</v>
      </c>
      <c r="C227" s="95"/>
      <c r="D227" s="95"/>
      <c r="E227" s="95"/>
      <c r="F227" s="95"/>
      <c r="G227" s="95"/>
      <c r="H227" s="95"/>
      <c r="I227" s="95"/>
      <c r="J227" s="95"/>
      <c r="O227" s="169"/>
    </row>
    <row r="228" spans="2:15" x14ac:dyDescent="0.25">
      <c r="B228" s="180" t="s">
        <v>389</v>
      </c>
      <c r="C228" s="92">
        <v>4</v>
      </c>
      <c r="D228" s="169"/>
      <c r="E228" s="169"/>
      <c r="F228" s="169"/>
      <c r="G228" s="169"/>
      <c r="H228" s="169"/>
      <c r="I228" s="169"/>
      <c r="J228" s="169"/>
      <c r="K228" s="169"/>
      <c r="L228" s="169"/>
    </row>
    <row r="229" spans="2:15" x14ac:dyDescent="0.25">
      <c r="B229" s="180" t="s">
        <v>390</v>
      </c>
      <c r="C229" s="92">
        <v>50</v>
      </c>
      <c r="D229" s="169"/>
      <c r="E229" s="169"/>
      <c r="F229" s="169"/>
      <c r="G229" s="169"/>
      <c r="H229" s="169"/>
      <c r="I229" s="169"/>
      <c r="J229" s="169"/>
      <c r="K229" s="169"/>
      <c r="L229" s="169"/>
    </row>
    <row r="230" spans="2:15" x14ac:dyDescent="0.25">
      <c r="B230" s="180" t="s">
        <v>391</v>
      </c>
      <c r="C230" s="181">
        <v>0.2</v>
      </c>
      <c r="D230" s="169"/>
      <c r="E230" s="169"/>
      <c r="F230" s="169"/>
      <c r="G230" s="169"/>
      <c r="H230" s="169"/>
      <c r="I230" s="169"/>
      <c r="J230" s="169"/>
      <c r="K230" s="169"/>
      <c r="L230" s="169"/>
    </row>
    <row r="231" spans="2:15" x14ac:dyDescent="0.25">
      <c r="B231" s="180" t="s">
        <v>392</v>
      </c>
      <c r="C231" s="181">
        <v>0.05</v>
      </c>
      <c r="D231" s="169"/>
      <c r="E231" s="169"/>
      <c r="F231" s="169"/>
      <c r="G231" s="169"/>
      <c r="H231" s="169"/>
      <c r="I231" s="169"/>
      <c r="J231" s="169"/>
      <c r="K231" s="169"/>
      <c r="L231" s="169"/>
    </row>
    <row r="232" spans="2:15" x14ac:dyDescent="0.25">
      <c r="B232" s="180" t="s">
        <v>393</v>
      </c>
      <c r="C232" s="92">
        <f>(C228*C229*C230)/(C231)</f>
        <v>800</v>
      </c>
      <c r="D232" s="169"/>
      <c r="E232" s="169"/>
      <c r="F232" s="169"/>
      <c r="G232" s="169"/>
      <c r="H232" s="169"/>
      <c r="I232" s="169"/>
      <c r="J232" s="169"/>
      <c r="K232" s="169"/>
      <c r="L232" s="169"/>
    </row>
    <row r="233" spans="2:15" x14ac:dyDescent="0.25">
      <c r="B233" s="189" t="s">
        <v>394</v>
      </c>
    </row>
    <row r="235" spans="2:15" x14ac:dyDescent="0.25">
      <c r="B235" s="95" t="s">
        <v>395</v>
      </c>
      <c r="C235" s="95"/>
      <c r="D235" s="95"/>
      <c r="E235" s="95"/>
      <c r="F235" s="95"/>
      <c r="G235" s="95"/>
      <c r="H235" s="95"/>
      <c r="I235" s="95"/>
      <c r="J235" s="95"/>
    </row>
    <row r="236" spans="2:15" x14ac:dyDescent="0.25">
      <c r="B236" s="180" t="s">
        <v>396</v>
      </c>
      <c r="C236" s="92">
        <v>1000</v>
      </c>
    </row>
    <row r="237" spans="2:15" x14ac:dyDescent="0.25">
      <c r="B237" s="180" t="s">
        <v>397</v>
      </c>
      <c r="C237" s="92">
        <v>200</v>
      </c>
    </row>
    <row r="238" spans="2:15" x14ac:dyDescent="0.25">
      <c r="B238" s="180" t="s">
        <v>398</v>
      </c>
      <c r="C238" s="92">
        <f>C236/C237</f>
        <v>5</v>
      </c>
    </row>
    <row r="246" spans="1:15" x14ac:dyDescent="0.25">
      <c r="B246" s="95" t="s">
        <v>410</v>
      </c>
    </row>
    <row r="248" spans="1:15" x14ac:dyDescent="0.25">
      <c r="B248" s="95" t="s">
        <v>407</v>
      </c>
      <c r="C248" s="89" t="s">
        <v>295</v>
      </c>
      <c r="D248" s="89" t="s">
        <v>296</v>
      </c>
      <c r="E248" s="89" t="s">
        <v>297</v>
      </c>
      <c r="F248" s="89" t="s">
        <v>298</v>
      </c>
      <c r="G248" s="89" t="s">
        <v>299</v>
      </c>
      <c r="H248" s="89" t="s">
        <v>300</v>
      </c>
      <c r="I248" s="89" t="s">
        <v>301</v>
      </c>
      <c r="J248" s="89" t="s">
        <v>302</v>
      </c>
      <c r="K248" s="89" t="s">
        <v>303</v>
      </c>
      <c r="L248" s="89" t="s">
        <v>304</v>
      </c>
      <c r="M248" s="89" t="s">
        <v>305</v>
      </c>
      <c r="N248" s="89" t="s">
        <v>306</v>
      </c>
      <c r="O248" s="89" t="s">
        <v>409</v>
      </c>
    </row>
    <row r="249" spans="1:15" x14ac:dyDescent="0.25">
      <c r="A249" s="185"/>
      <c r="B249" s="183" t="s">
        <v>406</v>
      </c>
      <c r="C249" s="92">
        <v>300</v>
      </c>
      <c r="D249" s="92">
        <v>310</v>
      </c>
      <c r="E249" s="92">
        <v>320</v>
      </c>
      <c r="F249" s="92">
        <v>330</v>
      </c>
      <c r="G249" s="92">
        <v>340</v>
      </c>
      <c r="H249" s="92">
        <v>350</v>
      </c>
      <c r="I249" s="92">
        <v>360</v>
      </c>
      <c r="J249" s="92">
        <v>370</v>
      </c>
      <c r="K249" s="92">
        <v>380</v>
      </c>
      <c r="L249" s="92">
        <v>390</v>
      </c>
      <c r="M249" s="92">
        <v>400</v>
      </c>
      <c r="N249" s="92">
        <v>410</v>
      </c>
      <c r="O249" s="92">
        <f>SUM(C249:N249)</f>
        <v>4260</v>
      </c>
    </row>
    <row r="250" spans="1:15" x14ac:dyDescent="0.25">
      <c r="A250" s="185"/>
      <c r="B250" s="183" t="s">
        <v>404</v>
      </c>
      <c r="C250" s="92">
        <v>200</v>
      </c>
      <c r="D250" s="92">
        <v>210</v>
      </c>
      <c r="E250" s="92">
        <v>220</v>
      </c>
      <c r="F250" s="92">
        <v>230</v>
      </c>
      <c r="G250" s="92">
        <v>240</v>
      </c>
      <c r="H250" s="92">
        <v>250</v>
      </c>
      <c r="I250" s="92">
        <v>260</v>
      </c>
      <c r="J250" s="92">
        <v>270</v>
      </c>
      <c r="K250" s="92">
        <v>280</v>
      </c>
      <c r="L250" s="92">
        <v>290</v>
      </c>
      <c r="M250" s="92">
        <v>300</v>
      </c>
      <c r="N250" s="92">
        <v>310</v>
      </c>
      <c r="O250" s="92">
        <f t="shared" ref="O250:O254" si="38">SUM(C250:N250)</f>
        <v>3060</v>
      </c>
    </row>
    <row r="251" spans="1:15" x14ac:dyDescent="0.25">
      <c r="A251" s="185"/>
      <c r="B251" s="183" t="s">
        <v>403</v>
      </c>
      <c r="C251" s="92">
        <v>50</v>
      </c>
      <c r="D251" s="92">
        <v>53</v>
      </c>
      <c r="E251" s="92">
        <v>56</v>
      </c>
      <c r="F251" s="92">
        <v>59</v>
      </c>
      <c r="G251" s="92">
        <v>62</v>
      </c>
      <c r="H251" s="92">
        <v>65</v>
      </c>
      <c r="I251" s="92">
        <v>68</v>
      </c>
      <c r="J251" s="92">
        <v>71</v>
      </c>
      <c r="K251" s="92">
        <v>74</v>
      </c>
      <c r="L251" s="92">
        <v>77</v>
      </c>
      <c r="M251" s="92">
        <v>80</v>
      </c>
      <c r="N251" s="92">
        <v>83</v>
      </c>
      <c r="O251" s="92">
        <f t="shared" si="38"/>
        <v>798</v>
      </c>
    </row>
    <row r="252" spans="1:15" x14ac:dyDescent="0.25">
      <c r="A252" s="186"/>
      <c r="B252" s="183" t="s">
        <v>412</v>
      </c>
      <c r="C252" s="92">
        <v>100</v>
      </c>
      <c r="D252" s="92">
        <v>120</v>
      </c>
      <c r="E252" s="92">
        <v>140</v>
      </c>
      <c r="F252" s="92">
        <v>160</v>
      </c>
      <c r="G252" s="92">
        <v>180</v>
      </c>
      <c r="H252" s="92">
        <v>200</v>
      </c>
      <c r="I252" s="92">
        <v>220</v>
      </c>
      <c r="J252" s="92">
        <v>240</v>
      </c>
      <c r="K252" s="92">
        <v>260</v>
      </c>
      <c r="L252" s="92">
        <v>280</v>
      </c>
      <c r="M252" s="92">
        <v>300</v>
      </c>
      <c r="N252" s="92">
        <v>320</v>
      </c>
      <c r="O252" s="92">
        <f t="shared" si="38"/>
        <v>2520</v>
      </c>
    </row>
    <row r="253" spans="1:15" x14ac:dyDescent="0.25">
      <c r="A253" s="186"/>
      <c r="B253" s="183" t="s">
        <v>405</v>
      </c>
      <c r="C253" s="92">
        <v>100</v>
      </c>
      <c r="D253" s="92">
        <v>110</v>
      </c>
      <c r="E253" s="92">
        <v>120</v>
      </c>
      <c r="F253" s="92">
        <v>130</v>
      </c>
      <c r="G253" s="92">
        <v>140</v>
      </c>
      <c r="H253" s="92">
        <v>150</v>
      </c>
      <c r="I253" s="92">
        <v>160</v>
      </c>
      <c r="J253" s="92">
        <v>170</v>
      </c>
      <c r="K253" s="92">
        <v>180</v>
      </c>
      <c r="L253" s="92">
        <v>190</v>
      </c>
      <c r="M253" s="92">
        <v>200</v>
      </c>
      <c r="N253" s="92">
        <v>210</v>
      </c>
      <c r="O253" s="92">
        <f t="shared" si="38"/>
        <v>1860</v>
      </c>
    </row>
    <row r="254" spans="1:15" x14ac:dyDescent="0.25">
      <c r="B254" s="190" t="s">
        <v>408</v>
      </c>
      <c r="C254" s="92">
        <f>SUM(C249:C253)</f>
        <v>750</v>
      </c>
      <c r="D254" s="92">
        <f t="shared" ref="D254:N254" si="39">SUM(D249:D253)</f>
        <v>803</v>
      </c>
      <c r="E254" s="92">
        <f t="shared" si="39"/>
        <v>856</v>
      </c>
      <c r="F254" s="92">
        <f t="shared" si="39"/>
        <v>909</v>
      </c>
      <c r="G254" s="92">
        <f t="shared" si="39"/>
        <v>962</v>
      </c>
      <c r="H254" s="92">
        <f t="shared" si="39"/>
        <v>1015</v>
      </c>
      <c r="I254" s="92">
        <f t="shared" si="39"/>
        <v>1068</v>
      </c>
      <c r="J254" s="92">
        <f t="shared" si="39"/>
        <v>1121</v>
      </c>
      <c r="K254" s="92">
        <f t="shared" si="39"/>
        <v>1174</v>
      </c>
      <c r="L254" s="92">
        <f t="shared" si="39"/>
        <v>1227</v>
      </c>
      <c r="M254" s="92">
        <f t="shared" si="39"/>
        <v>1280</v>
      </c>
      <c r="N254" s="92">
        <f t="shared" si="39"/>
        <v>1333</v>
      </c>
      <c r="O254" s="92">
        <f t="shared" si="38"/>
        <v>12498</v>
      </c>
    </row>
  </sheetData>
  <mergeCells count="9">
    <mergeCell ref="B107:C107"/>
    <mergeCell ref="B158:C158"/>
    <mergeCell ref="A170:A171"/>
    <mergeCell ref="A167:A169"/>
    <mergeCell ref="D112:P112"/>
    <mergeCell ref="B126:C126"/>
    <mergeCell ref="D128:P128"/>
    <mergeCell ref="B142:C142"/>
    <mergeCell ref="D144:P144"/>
  </mergeCells>
  <phoneticPr fontId="7"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L218"/>
  <sheetViews>
    <sheetView showGridLines="0" topLeftCell="A170" zoomScale="85" zoomScaleNormal="85" workbookViewId="0">
      <selection activeCell="I96" sqref="I96"/>
    </sheetView>
  </sheetViews>
  <sheetFormatPr defaultRowHeight="14.4" x14ac:dyDescent="0.25"/>
  <cols>
    <col min="1" max="1" width="4.6640625" style="40" customWidth="1"/>
    <col min="2" max="2" width="30.109375" style="40" customWidth="1"/>
    <col min="3" max="3" width="21" style="40" customWidth="1"/>
    <col min="4" max="6" width="19.6640625" style="40" customWidth="1"/>
    <col min="7" max="253" width="8.88671875" style="40"/>
    <col min="254" max="254" width="4.6640625" style="40" customWidth="1"/>
    <col min="255" max="255" width="21" style="40" customWidth="1"/>
    <col min="256" max="257" width="14.5546875" style="40" customWidth="1"/>
    <col min="258" max="258" width="2.5546875" style="40" customWidth="1"/>
    <col min="259" max="260" width="14.5546875" style="40" customWidth="1"/>
    <col min="261" max="261" width="2.5546875" style="40" customWidth="1"/>
    <col min="262" max="262" width="27.5546875" style="40" customWidth="1"/>
    <col min="263" max="509" width="8.88671875" style="40"/>
    <col min="510" max="510" width="4.6640625" style="40" customWidth="1"/>
    <col min="511" max="511" width="21" style="40" customWidth="1"/>
    <col min="512" max="513" width="14.5546875" style="40" customWidth="1"/>
    <col min="514" max="514" width="2.5546875" style="40" customWidth="1"/>
    <col min="515" max="516" width="14.5546875" style="40" customWidth="1"/>
    <col min="517" max="517" width="2.5546875" style="40" customWidth="1"/>
    <col min="518" max="518" width="27.5546875" style="40" customWidth="1"/>
    <col min="519" max="765" width="8.88671875" style="40"/>
    <col min="766" max="766" width="4.6640625" style="40" customWidth="1"/>
    <col min="767" max="767" width="21" style="40" customWidth="1"/>
    <col min="768" max="769" width="14.5546875" style="40" customWidth="1"/>
    <col min="770" max="770" width="2.5546875" style="40" customWidth="1"/>
    <col min="771" max="772" width="14.5546875" style="40" customWidth="1"/>
    <col min="773" max="773" width="2.5546875" style="40" customWidth="1"/>
    <col min="774" max="774" width="27.5546875" style="40" customWidth="1"/>
    <col min="775" max="1021" width="8.88671875" style="40"/>
    <col min="1022" max="1022" width="4.6640625" style="40" customWidth="1"/>
    <col min="1023" max="1023" width="21" style="40" customWidth="1"/>
    <col min="1024" max="1025" width="14.5546875" style="40" customWidth="1"/>
    <col min="1026" max="1026" width="2.5546875" style="40" customWidth="1"/>
    <col min="1027" max="1028" width="14.5546875" style="40" customWidth="1"/>
    <col min="1029" max="1029" width="2.5546875" style="40" customWidth="1"/>
    <col min="1030" max="1030" width="27.5546875" style="40" customWidth="1"/>
    <col min="1031" max="1277" width="8.88671875" style="40"/>
    <col min="1278" max="1278" width="4.6640625" style="40" customWidth="1"/>
    <col min="1279" max="1279" width="21" style="40" customWidth="1"/>
    <col min="1280" max="1281" width="14.5546875" style="40" customWidth="1"/>
    <col min="1282" max="1282" width="2.5546875" style="40" customWidth="1"/>
    <col min="1283" max="1284" width="14.5546875" style="40" customWidth="1"/>
    <col min="1285" max="1285" width="2.5546875" style="40" customWidth="1"/>
    <col min="1286" max="1286" width="27.5546875" style="40" customWidth="1"/>
    <col min="1287" max="1533" width="8.88671875" style="40"/>
    <col min="1534" max="1534" width="4.6640625" style="40" customWidth="1"/>
    <col min="1535" max="1535" width="21" style="40" customWidth="1"/>
    <col min="1536" max="1537" width="14.5546875" style="40" customWidth="1"/>
    <col min="1538" max="1538" width="2.5546875" style="40" customWidth="1"/>
    <col min="1539" max="1540" width="14.5546875" style="40" customWidth="1"/>
    <col min="1541" max="1541" width="2.5546875" style="40" customWidth="1"/>
    <col min="1542" max="1542" width="27.5546875" style="40" customWidth="1"/>
    <col min="1543" max="1789" width="8.88671875" style="40"/>
    <col min="1790" max="1790" width="4.6640625" style="40" customWidth="1"/>
    <col min="1791" max="1791" width="21" style="40" customWidth="1"/>
    <col min="1792" max="1793" width="14.5546875" style="40" customWidth="1"/>
    <col min="1794" max="1794" width="2.5546875" style="40" customWidth="1"/>
    <col min="1795" max="1796" width="14.5546875" style="40" customWidth="1"/>
    <col min="1797" max="1797" width="2.5546875" style="40" customWidth="1"/>
    <col min="1798" max="1798" width="27.5546875" style="40" customWidth="1"/>
    <col min="1799" max="2045" width="8.88671875" style="40"/>
    <col min="2046" max="2046" width="4.6640625" style="40" customWidth="1"/>
    <col min="2047" max="2047" width="21" style="40" customWidth="1"/>
    <col min="2048" max="2049" width="14.5546875" style="40" customWidth="1"/>
    <col min="2050" max="2050" width="2.5546875" style="40" customWidth="1"/>
    <col min="2051" max="2052" width="14.5546875" style="40" customWidth="1"/>
    <col min="2053" max="2053" width="2.5546875" style="40" customWidth="1"/>
    <col min="2054" max="2054" width="27.5546875" style="40" customWidth="1"/>
    <col min="2055" max="2301" width="8.88671875" style="40"/>
    <col min="2302" max="2302" width="4.6640625" style="40" customWidth="1"/>
    <col min="2303" max="2303" width="21" style="40" customWidth="1"/>
    <col min="2304" max="2305" width="14.5546875" style="40" customWidth="1"/>
    <col min="2306" max="2306" width="2.5546875" style="40" customWidth="1"/>
    <col min="2307" max="2308" width="14.5546875" style="40" customWidth="1"/>
    <col min="2309" max="2309" width="2.5546875" style="40" customWidth="1"/>
    <col min="2310" max="2310" width="27.5546875" style="40" customWidth="1"/>
    <col min="2311" max="2557" width="8.88671875" style="40"/>
    <col min="2558" max="2558" width="4.6640625" style="40" customWidth="1"/>
    <col min="2559" max="2559" width="21" style="40" customWidth="1"/>
    <col min="2560" max="2561" width="14.5546875" style="40" customWidth="1"/>
    <col min="2562" max="2562" width="2.5546875" style="40" customWidth="1"/>
    <col min="2563" max="2564" width="14.5546875" style="40" customWidth="1"/>
    <col min="2565" max="2565" width="2.5546875" style="40" customWidth="1"/>
    <col min="2566" max="2566" width="27.5546875" style="40" customWidth="1"/>
    <col min="2567" max="2813" width="8.88671875" style="40"/>
    <col min="2814" max="2814" width="4.6640625" style="40" customWidth="1"/>
    <col min="2815" max="2815" width="21" style="40" customWidth="1"/>
    <col min="2816" max="2817" width="14.5546875" style="40" customWidth="1"/>
    <col min="2818" max="2818" width="2.5546875" style="40" customWidth="1"/>
    <col min="2819" max="2820" width="14.5546875" style="40" customWidth="1"/>
    <col min="2821" max="2821" width="2.5546875" style="40" customWidth="1"/>
    <col min="2822" max="2822" width="27.5546875" style="40" customWidth="1"/>
    <col min="2823" max="3069" width="8.88671875" style="40"/>
    <col min="3070" max="3070" width="4.6640625" style="40" customWidth="1"/>
    <col min="3071" max="3071" width="21" style="40" customWidth="1"/>
    <col min="3072" max="3073" width="14.5546875" style="40" customWidth="1"/>
    <col min="3074" max="3074" width="2.5546875" style="40" customWidth="1"/>
    <col min="3075" max="3076" width="14.5546875" style="40" customWidth="1"/>
    <col min="3077" max="3077" width="2.5546875" style="40" customWidth="1"/>
    <col min="3078" max="3078" width="27.5546875" style="40" customWidth="1"/>
    <col min="3079" max="3325" width="8.88671875" style="40"/>
    <col min="3326" max="3326" width="4.6640625" style="40" customWidth="1"/>
    <col min="3327" max="3327" width="21" style="40" customWidth="1"/>
    <col min="3328" max="3329" width="14.5546875" style="40" customWidth="1"/>
    <col min="3330" max="3330" width="2.5546875" style="40" customWidth="1"/>
    <col min="3331" max="3332" width="14.5546875" style="40" customWidth="1"/>
    <col min="3333" max="3333" width="2.5546875" style="40" customWidth="1"/>
    <col min="3334" max="3334" width="27.5546875" style="40" customWidth="1"/>
    <col min="3335" max="3581" width="8.88671875" style="40"/>
    <col min="3582" max="3582" width="4.6640625" style="40" customWidth="1"/>
    <col min="3583" max="3583" width="21" style="40" customWidth="1"/>
    <col min="3584" max="3585" width="14.5546875" style="40" customWidth="1"/>
    <col min="3586" max="3586" width="2.5546875" style="40" customWidth="1"/>
    <col min="3587" max="3588" width="14.5546875" style="40" customWidth="1"/>
    <col min="3589" max="3589" width="2.5546875" style="40" customWidth="1"/>
    <col min="3590" max="3590" width="27.5546875" style="40" customWidth="1"/>
    <col min="3591" max="3837" width="8.88671875" style="40"/>
    <col min="3838" max="3838" width="4.6640625" style="40" customWidth="1"/>
    <col min="3839" max="3839" width="21" style="40" customWidth="1"/>
    <col min="3840" max="3841" width="14.5546875" style="40" customWidth="1"/>
    <col min="3842" max="3842" width="2.5546875" style="40" customWidth="1"/>
    <col min="3843" max="3844" width="14.5546875" style="40" customWidth="1"/>
    <col min="3845" max="3845" width="2.5546875" style="40" customWidth="1"/>
    <col min="3846" max="3846" width="27.5546875" style="40" customWidth="1"/>
    <col min="3847" max="4093" width="8.88671875" style="40"/>
    <col min="4094" max="4094" width="4.6640625" style="40" customWidth="1"/>
    <col min="4095" max="4095" width="21" style="40" customWidth="1"/>
    <col min="4096" max="4097" width="14.5546875" style="40" customWidth="1"/>
    <col min="4098" max="4098" width="2.5546875" style="40" customWidth="1"/>
    <col min="4099" max="4100" width="14.5546875" style="40" customWidth="1"/>
    <col min="4101" max="4101" width="2.5546875" style="40" customWidth="1"/>
    <col min="4102" max="4102" width="27.5546875" style="40" customWidth="1"/>
    <col min="4103" max="4349" width="8.88671875" style="40"/>
    <col min="4350" max="4350" width="4.6640625" style="40" customWidth="1"/>
    <col min="4351" max="4351" width="21" style="40" customWidth="1"/>
    <col min="4352" max="4353" width="14.5546875" style="40" customWidth="1"/>
    <col min="4354" max="4354" width="2.5546875" style="40" customWidth="1"/>
    <col min="4355" max="4356" width="14.5546875" style="40" customWidth="1"/>
    <col min="4357" max="4357" width="2.5546875" style="40" customWidth="1"/>
    <col min="4358" max="4358" width="27.5546875" style="40" customWidth="1"/>
    <col min="4359" max="4605" width="8.88671875" style="40"/>
    <col min="4606" max="4606" width="4.6640625" style="40" customWidth="1"/>
    <col min="4607" max="4607" width="21" style="40" customWidth="1"/>
    <col min="4608" max="4609" width="14.5546875" style="40" customWidth="1"/>
    <col min="4610" max="4610" width="2.5546875" style="40" customWidth="1"/>
    <col min="4611" max="4612" width="14.5546875" style="40" customWidth="1"/>
    <col min="4613" max="4613" width="2.5546875" style="40" customWidth="1"/>
    <col min="4614" max="4614" width="27.5546875" style="40" customWidth="1"/>
    <col min="4615" max="4861" width="8.88671875" style="40"/>
    <col min="4862" max="4862" width="4.6640625" style="40" customWidth="1"/>
    <col min="4863" max="4863" width="21" style="40" customWidth="1"/>
    <col min="4864" max="4865" width="14.5546875" style="40" customWidth="1"/>
    <col min="4866" max="4866" width="2.5546875" style="40" customWidth="1"/>
    <col min="4867" max="4868" width="14.5546875" style="40" customWidth="1"/>
    <col min="4869" max="4869" width="2.5546875" style="40" customWidth="1"/>
    <col min="4870" max="4870" width="27.5546875" style="40" customWidth="1"/>
    <col min="4871" max="5117" width="8.88671875" style="40"/>
    <col min="5118" max="5118" width="4.6640625" style="40" customWidth="1"/>
    <col min="5119" max="5119" width="21" style="40" customWidth="1"/>
    <col min="5120" max="5121" width="14.5546875" style="40" customWidth="1"/>
    <col min="5122" max="5122" width="2.5546875" style="40" customWidth="1"/>
    <col min="5123" max="5124" width="14.5546875" style="40" customWidth="1"/>
    <col min="5125" max="5125" width="2.5546875" style="40" customWidth="1"/>
    <col min="5126" max="5126" width="27.5546875" style="40" customWidth="1"/>
    <col min="5127" max="5373" width="8.88671875" style="40"/>
    <col min="5374" max="5374" width="4.6640625" style="40" customWidth="1"/>
    <col min="5375" max="5375" width="21" style="40" customWidth="1"/>
    <col min="5376" max="5377" width="14.5546875" style="40" customWidth="1"/>
    <col min="5378" max="5378" width="2.5546875" style="40" customWidth="1"/>
    <col min="5379" max="5380" width="14.5546875" style="40" customWidth="1"/>
    <col min="5381" max="5381" width="2.5546875" style="40" customWidth="1"/>
    <col min="5382" max="5382" width="27.5546875" style="40" customWidth="1"/>
    <col min="5383" max="5629" width="8.88671875" style="40"/>
    <col min="5630" max="5630" width="4.6640625" style="40" customWidth="1"/>
    <col min="5631" max="5631" width="21" style="40" customWidth="1"/>
    <col min="5632" max="5633" width="14.5546875" style="40" customWidth="1"/>
    <col min="5634" max="5634" width="2.5546875" style="40" customWidth="1"/>
    <col min="5635" max="5636" width="14.5546875" style="40" customWidth="1"/>
    <col min="5637" max="5637" width="2.5546875" style="40" customWidth="1"/>
    <col min="5638" max="5638" width="27.5546875" style="40" customWidth="1"/>
    <col min="5639" max="5885" width="8.88671875" style="40"/>
    <col min="5886" max="5886" width="4.6640625" style="40" customWidth="1"/>
    <col min="5887" max="5887" width="21" style="40" customWidth="1"/>
    <col min="5888" max="5889" width="14.5546875" style="40" customWidth="1"/>
    <col min="5890" max="5890" width="2.5546875" style="40" customWidth="1"/>
    <col min="5891" max="5892" width="14.5546875" style="40" customWidth="1"/>
    <col min="5893" max="5893" width="2.5546875" style="40" customWidth="1"/>
    <col min="5894" max="5894" width="27.5546875" style="40" customWidth="1"/>
    <col min="5895" max="6141" width="8.88671875" style="40"/>
    <col min="6142" max="6142" width="4.6640625" style="40" customWidth="1"/>
    <col min="6143" max="6143" width="21" style="40" customWidth="1"/>
    <col min="6144" max="6145" width="14.5546875" style="40" customWidth="1"/>
    <col min="6146" max="6146" width="2.5546875" style="40" customWidth="1"/>
    <col min="6147" max="6148" width="14.5546875" style="40" customWidth="1"/>
    <col min="6149" max="6149" width="2.5546875" style="40" customWidth="1"/>
    <col min="6150" max="6150" width="27.5546875" style="40" customWidth="1"/>
    <col min="6151" max="6397" width="8.88671875" style="40"/>
    <col min="6398" max="6398" width="4.6640625" style="40" customWidth="1"/>
    <col min="6399" max="6399" width="21" style="40" customWidth="1"/>
    <col min="6400" max="6401" width="14.5546875" style="40" customWidth="1"/>
    <col min="6402" max="6402" width="2.5546875" style="40" customWidth="1"/>
    <col min="6403" max="6404" width="14.5546875" style="40" customWidth="1"/>
    <col min="6405" max="6405" width="2.5546875" style="40" customWidth="1"/>
    <col min="6406" max="6406" width="27.5546875" style="40" customWidth="1"/>
    <col min="6407" max="6653" width="8.88671875" style="40"/>
    <col min="6654" max="6654" width="4.6640625" style="40" customWidth="1"/>
    <col min="6655" max="6655" width="21" style="40" customWidth="1"/>
    <col min="6656" max="6657" width="14.5546875" style="40" customWidth="1"/>
    <col min="6658" max="6658" width="2.5546875" style="40" customWidth="1"/>
    <col min="6659" max="6660" width="14.5546875" style="40" customWidth="1"/>
    <col min="6661" max="6661" width="2.5546875" style="40" customWidth="1"/>
    <col min="6662" max="6662" width="27.5546875" style="40" customWidth="1"/>
    <col min="6663" max="6909" width="8.88671875" style="40"/>
    <col min="6910" max="6910" width="4.6640625" style="40" customWidth="1"/>
    <col min="6911" max="6911" width="21" style="40" customWidth="1"/>
    <col min="6912" max="6913" width="14.5546875" style="40" customWidth="1"/>
    <col min="6914" max="6914" width="2.5546875" style="40" customWidth="1"/>
    <col min="6915" max="6916" width="14.5546875" style="40" customWidth="1"/>
    <col min="6917" max="6917" width="2.5546875" style="40" customWidth="1"/>
    <col min="6918" max="6918" width="27.5546875" style="40" customWidth="1"/>
    <col min="6919" max="7165" width="8.88671875" style="40"/>
    <col min="7166" max="7166" width="4.6640625" style="40" customWidth="1"/>
    <col min="7167" max="7167" width="21" style="40" customWidth="1"/>
    <col min="7168" max="7169" width="14.5546875" style="40" customWidth="1"/>
    <col min="7170" max="7170" width="2.5546875" style="40" customWidth="1"/>
    <col min="7171" max="7172" width="14.5546875" style="40" customWidth="1"/>
    <col min="7173" max="7173" width="2.5546875" style="40" customWidth="1"/>
    <col min="7174" max="7174" width="27.5546875" style="40" customWidth="1"/>
    <col min="7175" max="7421" width="8.88671875" style="40"/>
    <col min="7422" max="7422" width="4.6640625" style="40" customWidth="1"/>
    <col min="7423" max="7423" width="21" style="40" customWidth="1"/>
    <col min="7424" max="7425" width="14.5546875" style="40" customWidth="1"/>
    <col min="7426" max="7426" width="2.5546875" style="40" customWidth="1"/>
    <col min="7427" max="7428" width="14.5546875" style="40" customWidth="1"/>
    <col min="7429" max="7429" width="2.5546875" style="40" customWidth="1"/>
    <col min="7430" max="7430" width="27.5546875" style="40" customWidth="1"/>
    <col min="7431" max="7677" width="8.88671875" style="40"/>
    <col min="7678" max="7678" width="4.6640625" style="40" customWidth="1"/>
    <col min="7679" max="7679" width="21" style="40" customWidth="1"/>
    <col min="7680" max="7681" width="14.5546875" style="40" customWidth="1"/>
    <col min="7682" max="7682" width="2.5546875" style="40" customWidth="1"/>
    <col min="7683" max="7684" width="14.5546875" style="40" customWidth="1"/>
    <col min="7685" max="7685" width="2.5546875" style="40" customWidth="1"/>
    <col min="7686" max="7686" width="27.5546875" style="40" customWidth="1"/>
    <col min="7687" max="7933" width="8.88671875" style="40"/>
    <col min="7934" max="7934" width="4.6640625" style="40" customWidth="1"/>
    <col min="7935" max="7935" width="21" style="40" customWidth="1"/>
    <col min="7936" max="7937" width="14.5546875" style="40" customWidth="1"/>
    <col min="7938" max="7938" width="2.5546875" style="40" customWidth="1"/>
    <col min="7939" max="7940" width="14.5546875" style="40" customWidth="1"/>
    <col min="7941" max="7941" width="2.5546875" style="40" customWidth="1"/>
    <col min="7942" max="7942" width="27.5546875" style="40" customWidth="1"/>
    <col min="7943" max="8189" width="8.88671875" style="40"/>
    <col min="8190" max="8190" width="4.6640625" style="40" customWidth="1"/>
    <col min="8191" max="8191" width="21" style="40" customWidth="1"/>
    <col min="8192" max="8193" width="14.5546875" style="40" customWidth="1"/>
    <col min="8194" max="8194" width="2.5546875" style="40" customWidth="1"/>
    <col min="8195" max="8196" width="14.5546875" style="40" customWidth="1"/>
    <col min="8197" max="8197" width="2.5546875" style="40" customWidth="1"/>
    <col min="8198" max="8198" width="27.5546875" style="40" customWidth="1"/>
    <col min="8199" max="8445" width="8.88671875" style="40"/>
    <col min="8446" max="8446" width="4.6640625" style="40" customWidth="1"/>
    <col min="8447" max="8447" width="21" style="40" customWidth="1"/>
    <col min="8448" max="8449" width="14.5546875" style="40" customWidth="1"/>
    <col min="8450" max="8450" width="2.5546875" style="40" customWidth="1"/>
    <col min="8451" max="8452" width="14.5546875" style="40" customWidth="1"/>
    <col min="8453" max="8453" width="2.5546875" style="40" customWidth="1"/>
    <col min="8454" max="8454" width="27.5546875" style="40" customWidth="1"/>
    <col min="8455" max="8701" width="8.88671875" style="40"/>
    <col min="8702" max="8702" width="4.6640625" style="40" customWidth="1"/>
    <col min="8703" max="8703" width="21" style="40" customWidth="1"/>
    <col min="8704" max="8705" width="14.5546875" style="40" customWidth="1"/>
    <col min="8706" max="8706" width="2.5546875" style="40" customWidth="1"/>
    <col min="8707" max="8708" width="14.5546875" style="40" customWidth="1"/>
    <col min="8709" max="8709" width="2.5546875" style="40" customWidth="1"/>
    <col min="8710" max="8710" width="27.5546875" style="40" customWidth="1"/>
    <col min="8711" max="8957" width="8.88671875" style="40"/>
    <col min="8958" max="8958" width="4.6640625" style="40" customWidth="1"/>
    <col min="8959" max="8959" width="21" style="40" customWidth="1"/>
    <col min="8960" max="8961" width="14.5546875" style="40" customWidth="1"/>
    <col min="8962" max="8962" width="2.5546875" style="40" customWidth="1"/>
    <col min="8963" max="8964" width="14.5546875" style="40" customWidth="1"/>
    <col min="8965" max="8965" width="2.5546875" style="40" customWidth="1"/>
    <col min="8966" max="8966" width="27.5546875" style="40" customWidth="1"/>
    <col min="8967" max="9213" width="8.88671875" style="40"/>
    <col min="9214" max="9214" width="4.6640625" style="40" customWidth="1"/>
    <col min="9215" max="9215" width="21" style="40" customWidth="1"/>
    <col min="9216" max="9217" width="14.5546875" style="40" customWidth="1"/>
    <col min="9218" max="9218" width="2.5546875" style="40" customWidth="1"/>
    <col min="9219" max="9220" width="14.5546875" style="40" customWidth="1"/>
    <col min="9221" max="9221" width="2.5546875" style="40" customWidth="1"/>
    <col min="9222" max="9222" width="27.5546875" style="40" customWidth="1"/>
    <col min="9223" max="9469" width="8.88671875" style="40"/>
    <col min="9470" max="9470" width="4.6640625" style="40" customWidth="1"/>
    <col min="9471" max="9471" width="21" style="40" customWidth="1"/>
    <col min="9472" max="9473" width="14.5546875" style="40" customWidth="1"/>
    <col min="9474" max="9474" width="2.5546875" style="40" customWidth="1"/>
    <col min="9475" max="9476" width="14.5546875" style="40" customWidth="1"/>
    <col min="9477" max="9477" width="2.5546875" style="40" customWidth="1"/>
    <col min="9478" max="9478" width="27.5546875" style="40" customWidth="1"/>
    <col min="9479" max="9725" width="8.88671875" style="40"/>
    <col min="9726" max="9726" width="4.6640625" style="40" customWidth="1"/>
    <col min="9727" max="9727" width="21" style="40" customWidth="1"/>
    <col min="9728" max="9729" width="14.5546875" style="40" customWidth="1"/>
    <col min="9730" max="9730" width="2.5546875" style="40" customWidth="1"/>
    <col min="9731" max="9732" width="14.5546875" style="40" customWidth="1"/>
    <col min="9733" max="9733" width="2.5546875" style="40" customWidth="1"/>
    <col min="9734" max="9734" width="27.5546875" style="40" customWidth="1"/>
    <col min="9735" max="9981" width="8.88671875" style="40"/>
    <col min="9982" max="9982" width="4.6640625" style="40" customWidth="1"/>
    <col min="9983" max="9983" width="21" style="40" customWidth="1"/>
    <col min="9984" max="9985" width="14.5546875" style="40" customWidth="1"/>
    <col min="9986" max="9986" width="2.5546875" style="40" customWidth="1"/>
    <col min="9987" max="9988" width="14.5546875" style="40" customWidth="1"/>
    <col min="9989" max="9989" width="2.5546875" style="40" customWidth="1"/>
    <col min="9990" max="9990" width="27.5546875" style="40" customWidth="1"/>
    <col min="9991" max="10237" width="8.88671875" style="40"/>
    <col min="10238" max="10238" width="4.6640625" style="40" customWidth="1"/>
    <col min="10239" max="10239" width="21" style="40" customWidth="1"/>
    <col min="10240" max="10241" width="14.5546875" style="40" customWidth="1"/>
    <col min="10242" max="10242" width="2.5546875" style="40" customWidth="1"/>
    <col min="10243" max="10244" width="14.5546875" style="40" customWidth="1"/>
    <col min="10245" max="10245" width="2.5546875" style="40" customWidth="1"/>
    <col min="10246" max="10246" width="27.5546875" style="40" customWidth="1"/>
    <col min="10247" max="10493" width="8.88671875" style="40"/>
    <col min="10494" max="10494" width="4.6640625" style="40" customWidth="1"/>
    <col min="10495" max="10495" width="21" style="40" customWidth="1"/>
    <col min="10496" max="10497" width="14.5546875" style="40" customWidth="1"/>
    <col min="10498" max="10498" width="2.5546875" style="40" customWidth="1"/>
    <col min="10499" max="10500" width="14.5546875" style="40" customWidth="1"/>
    <col min="10501" max="10501" width="2.5546875" style="40" customWidth="1"/>
    <col min="10502" max="10502" width="27.5546875" style="40" customWidth="1"/>
    <col min="10503" max="10749" width="8.88671875" style="40"/>
    <col min="10750" max="10750" width="4.6640625" style="40" customWidth="1"/>
    <col min="10751" max="10751" width="21" style="40" customWidth="1"/>
    <col min="10752" max="10753" width="14.5546875" style="40" customWidth="1"/>
    <col min="10754" max="10754" width="2.5546875" style="40" customWidth="1"/>
    <col min="10755" max="10756" width="14.5546875" style="40" customWidth="1"/>
    <col min="10757" max="10757" width="2.5546875" style="40" customWidth="1"/>
    <col min="10758" max="10758" width="27.5546875" style="40" customWidth="1"/>
    <col min="10759" max="11005" width="8.88671875" style="40"/>
    <col min="11006" max="11006" width="4.6640625" style="40" customWidth="1"/>
    <col min="11007" max="11007" width="21" style="40" customWidth="1"/>
    <col min="11008" max="11009" width="14.5546875" style="40" customWidth="1"/>
    <col min="11010" max="11010" width="2.5546875" style="40" customWidth="1"/>
    <col min="11011" max="11012" width="14.5546875" style="40" customWidth="1"/>
    <col min="11013" max="11013" width="2.5546875" style="40" customWidth="1"/>
    <col min="11014" max="11014" width="27.5546875" style="40" customWidth="1"/>
    <col min="11015" max="11261" width="8.88671875" style="40"/>
    <col min="11262" max="11262" width="4.6640625" style="40" customWidth="1"/>
    <col min="11263" max="11263" width="21" style="40" customWidth="1"/>
    <col min="11264" max="11265" width="14.5546875" style="40" customWidth="1"/>
    <col min="11266" max="11266" width="2.5546875" style="40" customWidth="1"/>
    <col min="11267" max="11268" width="14.5546875" style="40" customWidth="1"/>
    <col min="11269" max="11269" width="2.5546875" style="40" customWidth="1"/>
    <col min="11270" max="11270" width="27.5546875" style="40" customWidth="1"/>
    <col min="11271" max="11517" width="8.88671875" style="40"/>
    <col min="11518" max="11518" width="4.6640625" style="40" customWidth="1"/>
    <col min="11519" max="11519" width="21" style="40" customWidth="1"/>
    <col min="11520" max="11521" width="14.5546875" style="40" customWidth="1"/>
    <col min="11522" max="11522" width="2.5546875" style="40" customWidth="1"/>
    <col min="11523" max="11524" width="14.5546875" style="40" customWidth="1"/>
    <col min="11525" max="11525" width="2.5546875" style="40" customWidth="1"/>
    <col min="11526" max="11526" width="27.5546875" style="40" customWidth="1"/>
    <col min="11527" max="11773" width="8.88671875" style="40"/>
    <col min="11774" max="11774" width="4.6640625" style="40" customWidth="1"/>
    <col min="11775" max="11775" width="21" style="40" customWidth="1"/>
    <col min="11776" max="11777" width="14.5546875" style="40" customWidth="1"/>
    <col min="11778" max="11778" width="2.5546875" style="40" customWidth="1"/>
    <col min="11779" max="11780" width="14.5546875" style="40" customWidth="1"/>
    <col min="11781" max="11781" width="2.5546875" style="40" customWidth="1"/>
    <col min="11782" max="11782" width="27.5546875" style="40" customWidth="1"/>
    <col min="11783" max="12029" width="8.88671875" style="40"/>
    <col min="12030" max="12030" width="4.6640625" style="40" customWidth="1"/>
    <col min="12031" max="12031" width="21" style="40" customWidth="1"/>
    <col min="12032" max="12033" width="14.5546875" style="40" customWidth="1"/>
    <col min="12034" max="12034" width="2.5546875" style="40" customWidth="1"/>
    <col min="12035" max="12036" width="14.5546875" style="40" customWidth="1"/>
    <col min="12037" max="12037" width="2.5546875" style="40" customWidth="1"/>
    <col min="12038" max="12038" width="27.5546875" style="40" customWidth="1"/>
    <col min="12039" max="12285" width="8.88671875" style="40"/>
    <col min="12286" max="12286" width="4.6640625" style="40" customWidth="1"/>
    <col min="12287" max="12287" width="21" style="40" customWidth="1"/>
    <col min="12288" max="12289" width="14.5546875" style="40" customWidth="1"/>
    <col min="12290" max="12290" width="2.5546875" style="40" customWidth="1"/>
    <col min="12291" max="12292" width="14.5546875" style="40" customWidth="1"/>
    <col min="12293" max="12293" width="2.5546875" style="40" customWidth="1"/>
    <col min="12294" max="12294" width="27.5546875" style="40" customWidth="1"/>
    <col min="12295" max="12541" width="8.88671875" style="40"/>
    <col min="12542" max="12542" width="4.6640625" style="40" customWidth="1"/>
    <col min="12543" max="12543" width="21" style="40" customWidth="1"/>
    <col min="12544" max="12545" width="14.5546875" style="40" customWidth="1"/>
    <col min="12546" max="12546" width="2.5546875" style="40" customWidth="1"/>
    <col min="12547" max="12548" width="14.5546875" style="40" customWidth="1"/>
    <col min="12549" max="12549" width="2.5546875" style="40" customWidth="1"/>
    <col min="12550" max="12550" width="27.5546875" style="40" customWidth="1"/>
    <col min="12551" max="12797" width="8.88671875" style="40"/>
    <col min="12798" max="12798" width="4.6640625" style="40" customWidth="1"/>
    <col min="12799" max="12799" width="21" style="40" customWidth="1"/>
    <col min="12800" max="12801" width="14.5546875" style="40" customWidth="1"/>
    <col min="12802" max="12802" width="2.5546875" style="40" customWidth="1"/>
    <col min="12803" max="12804" width="14.5546875" style="40" customWidth="1"/>
    <col min="12805" max="12805" width="2.5546875" style="40" customWidth="1"/>
    <col min="12806" max="12806" width="27.5546875" style="40" customWidth="1"/>
    <col min="12807" max="13053" width="8.88671875" style="40"/>
    <col min="13054" max="13054" width="4.6640625" style="40" customWidth="1"/>
    <col min="13055" max="13055" width="21" style="40" customWidth="1"/>
    <col min="13056" max="13057" width="14.5546875" style="40" customWidth="1"/>
    <col min="13058" max="13058" width="2.5546875" style="40" customWidth="1"/>
    <col min="13059" max="13060" width="14.5546875" style="40" customWidth="1"/>
    <col min="13061" max="13061" width="2.5546875" style="40" customWidth="1"/>
    <col min="13062" max="13062" width="27.5546875" style="40" customWidth="1"/>
    <col min="13063" max="13309" width="8.88671875" style="40"/>
    <col min="13310" max="13310" width="4.6640625" style="40" customWidth="1"/>
    <col min="13311" max="13311" width="21" style="40" customWidth="1"/>
    <col min="13312" max="13313" width="14.5546875" style="40" customWidth="1"/>
    <col min="13314" max="13314" width="2.5546875" style="40" customWidth="1"/>
    <col min="13315" max="13316" width="14.5546875" style="40" customWidth="1"/>
    <col min="13317" max="13317" width="2.5546875" style="40" customWidth="1"/>
    <col min="13318" max="13318" width="27.5546875" style="40" customWidth="1"/>
    <col min="13319" max="13565" width="8.88671875" style="40"/>
    <col min="13566" max="13566" width="4.6640625" style="40" customWidth="1"/>
    <col min="13567" max="13567" width="21" style="40" customWidth="1"/>
    <col min="13568" max="13569" width="14.5546875" style="40" customWidth="1"/>
    <col min="13570" max="13570" width="2.5546875" style="40" customWidth="1"/>
    <col min="13571" max="13572" width="14.5546875" style="40" customWidth="1"/>
    <col min="13573" max="13573" width="2.5546875" style="40" customWidth="1"/>
    <col min="13574" max="13574" width="27.5546875" style="40" customWidth="1"/>
    <col min="13575" max="13821" width="8.88671875" style="40"/>
    <col min="13822" max="13822" width="4.6640625" style="40" customWidth="1"/>
    <col min="13823" max="13823" width="21" style="40" customWidth="1"/>
    <col min="13824" max="13825" width="14.5546875" style="40" customWidth="1"/>
    <col min="13826" max="13826" width="2.5546875" style="40" customWidth="1"/>
    <col min="13827" max="13828" width="14.5546875" style="40" customWidth="1"/>
    <col min="13829" max="13829" width="2.5546875" style="40" customWidth="1"/>
    <col min="13830" max="13830" width="27.5546875" style="40" customWidth="1"/>
    <col min="13831" max="14077" width="8.88671875" style="40"/>
    <col min="14078" max="14078" width="4.6640625" style="40" customWidth="1"/>
    <col min="14079" max="14079" width="21" style="40" customWidth="1"/>
    <col min="14080" max="14081" width="14.5546875" style="40" customWidth="1"/>
    <col min="14082" max="14082" width="2.5546875" style="40" customWidth="1"/>
    <col min="14083" max="14084" width="14.5546875" style="40" customWidth="1"/>
    <col min="14085" max="14085" width="2.5546875" style="40" customWidth="1"/>
    <col min="14086" max="14086" width="27.5546875" style="40" customWidth="1"/>
    <col min="14087" max="14333" width="8.88671875" style="40"/>
    <col min="14334" max="14334" width="4.6640625" style="40" customWidth="1"/>
    <col min="14335" max="14335" width="21" style="40" customWidth="1"/>
    <col min="14336" max="14337" width="14.5546875" style="40" customWidth="1"/>
    <col min="14338" max="14338" width="2.5546875" style="40" customWidth="1"/>
    <col min="14339" max="14340" width="14.5546875" style="40" customWidth="1"/>
    <col min="14341" max="14341" width="2.5546875" style="40" customWidth="1"/>
    <col min="14342" max="14342" width="27.5546875" style="40" customWidth="1"/>
    <col min="14343" max="14589" width="8.88671875" style="40"/>
    <col min="14590" max="14590" width="4.6640625" style="40" customWidth="1"/>
    <col min="14591" max="14591" width="21" style="40" customWidth="1"/>
    <col min="14592" max="14593" width="14.5546875" style="40" customWidth="1"/>
    <col min="14594" max="14594" width="2.5546875" style="40" customWidth="1"/>
    <col min="14595" max="14596" width="14.5546875" style="40" customWidth="1"/>
    <col min="14597" max="14597" width="2.5546875" style="40" customWidth="1"/>
    <col min="14598" max="14598" width="27.5546875" style="40" customWidth="1"/>
    <col min="14599" max="14845" width="8.88671875" style="40"/>
    <col min="14846" max="14846" width="4.6640625" style="40" customWidth="1"/>
    <col min="14847" max="14847" width="21" style="40" customWidth="1"/>
    <col min="14848" max="14849" width="14.5546875" style="40" customWidth="1"/>
    <col min="14850" max="14850" width="2.5546875" style="40" customWidth="1"/>
    <col min="14851" max="14852" width="14.5546875" style="40" customWidth="1"/>
    <col min="14853" max="14853" width="2.5546875" style="40" customWidth="1"/>
    <col min="14854" max="14854" width="27.5546875" style="40" customWidth="1"/>
    <col min="14855" max="15101" width="8.88671875" style="40"/>
    <col min="15102" max="15102" width="4.6640625" style="40" customWidth="1"/>
    <col min="15103" max="15103" width="21" style="40" customWidth="1"/>
    <col min="15104" max="15105" width="14.5546875" style="40" customWidth="1"/>
    <col min="15106" max="15106" width="2.5546875" style="40" customWidth="1"/>
    <col min="15107" max="15108" width="14.5546875" style="40" customWidth="1"/>
    <col min="15109" max="15109" width="2.5546875" style="40" customWidth="1"/>
    <col min="15110" max="15110" width="27.5546875" style="40" customWidth="1"/>
    <col min="15111" max="15357" width="8.88671875" style="40"/>
    <col min="15358" max="15358" width="4.6640625" style="40" customWidth="1"/>
    <col min="15359" max="15359" width="21" style="40" customWidth="1"/>
    <col min="15360" max="15361" width="14.5546875" style="40" customWidth="1"/>
    <col min="15362" max="15362" width="2.5546875" style="40" customWidth="1"/>
    <col min="15363" max="15364" width="14.5546875" style="40" customWidth="1"/>
    <col min="15365" max="15365" width="2.5546875" style="40" customWidth="1"/>
    <col min="15366" max="15366" width="27.5546875" style="40" customWidth="1"/>
    <col min="15367" max="15613" width="8.88671875" style="40"/>
    <col min="15614" max="15614" width="4.6640625" style="40" customWidth="1"/>
    <col min="15615" max="15615" width="21" style="40" customWidth="1"/>
    <col min="15616" max="15617" width="14.5546875" style="40" customWidth="1"/>
    <col min="15618" max="15618" width="2.5546875" style="40" customWidth="1"/>
    <col min="15619" max="15620" width="14.5546875" style="40" customWidth="1"/>
    <col min="15621" max="15621" width="2.5546875" style="40" customWidth="1"/>
    <col min="15622" max="15622" width="27.5546875" style="40" customWidth="1"/>
    <col min="15623" max="15869" width="8.88671875" style="40"/>
    <col min="15870" max="15870" width="4.6640625" style="40" customWidth="1"/>
    <col min="15871" max="15871" width="21" style="40" customWidth="1"/>
    <col min="15872" max="15873" width="14.5546875" style="40" customWidth="1"/>
    <col min="15874" max="15874" width="2.5546875" style="40" customWidth="1"/>
    <col min="15875" max="15876" width="14.5546875" style="40" customWidth="1"/>
    <col min="15877" max="15877" width="2.5546875" style="40" customWidth="1"/>
    <col min="15878" max="15878" width="27.5546875" style="40" customWidth="1"/>
    <col min="15879" max="16125" width="8.88671875" style="40"/>
    <col min="16126" max="16126" width="4.6640625" style="40" customWidth="1"/>
    <col min="16127" max="16127" width="21" style="40" customWidth="1"/>
    <col min="16128" max="16129" width="14.5546875" style="40" customWidth="1"/>
    <col min="16130" max="16130" width="2.5546875" style="40" customWidth="1"/>
    <col min="16131" max="16132" width="14.5546875" style="40" customWidth="1"/>
    <col min="16133" max="16133" width="2.5546875" style="40" customWidth="1"/>
    <col min="16134" max="16134" width="27.5546875" style="40" customWidth="1"/>
    <col min="16135" max="16384" width="8.88671875" style="40"/>
  </cols>
  <sheetData>
    <row r="2" spans="2:6" x14ac:dyDescent="0.25">
      <c r="B2" s="360" t="s">
        <v>215</v>
      </c>
      <c r="C2" s="361"/>
      <c r="D2" s="361"/>
      <c r="E2" s="361"/>
      <c r="F2" s="361"/>
    </row>
    <row r="3" spans="2:6" x14ac:dyDescent="0.25">
      <c r="B3" s="89"/>
      <c r="C3" s="89" t="s">
        <v>216</v>
      </c>
      <c r="D3" s="89" t="s">
        <v>236</v>
      </c>
      <c r="E3" s="89" t="s">
        <v>475</v>
      </c>
      <c r="F3" s="89" t="s">
        <v>476</v>
      </c>
    </row>
    <row r="4" spans="2:6" x14ac:dyDescent="0.25">
      <c r="B4" s="89" t="s">
        <v>259</v>
      </c>
      <c r="C4" s="89"/>
      <c r="D4" s="89"/>
      <c r="E4" s="89"/>
      <c r="F4" s="89"/>
    </row>
    <row r="5" spans="2:6" x14ac:dyDescent="0.25">
      <c r="B5" s="180" t="s">
        <v>733</v>
      </c>
      <c r="C5" s="92"/>
      <c r="D5" s="92"/>
      <c r="E5" s="92"/>
      <c r="F5" s="92"/>
    </row>
    <row r="6" spans="2:6" x14ac:dyDescent="0.25">
      <c r="B6" s="208" t="s">
        <v>734</v>
      </c>
      <c r="C6" s="92"/>
      <c r="D6" s="92"/>
      <c r="E6" s="92"/>
      <c r="F6" s="92"/>
    </row>
    <row r="7" spans="2:6" x14ac:dyDescent="0.25">
      <c r="B7" s="208" t="s">
        <v>735</v>
      </c>
      <c r="C7" s="92"/>
      <c r="D7" s="92"/>
      <c r="E7" s="92"/>
      <c r="F7" s="92"/>
    </row>
    <row r="8" spans="2:6" x14ac:dyDescent="0.25">
      <c r="B8" s="208" t="s">
        <v>736</v>
      </c>
      <c r="C8" s="92"/>
      <c r="D8" s="92"/>
      <c r="E8" s="92"/>
      <c r="F8" s="92"/>
    </row>
    <row r="9" spans="2:6" x14ac:dyDescent="0.25">
      <c r="B9" s="208" t="s">
        <v>737</v>
      </c>
      <c r="C9" s="92"/>
      <c r="D9" s="92"/>
      <c r="E9" s="92"/>
      <c r="F9" s="92"/>
    </row>
    <row r="10" spans="2:6" x14ac:dyDescent="0.25">
      <c r="B10" s="208" t="s">
        <v>742</v>
      </c>
      <c r="C10" s="92"/>
      <c r="D10" s="92"/>
      <c r="E10" s="92"/>
      <c r="F10" s="92"/>
    </row>
    <row r="11" spans="2:6" x14ac:dyDescent="0.25">
      <c r="B11" s="208" t="s">
        <v>743</v>
      </c>
      <c r="C11" s="92"/>
      <c r="D11" s="92"/>
      <c r="E11" s="92"/>
      <c r="F11" s="92"/>
    </row>
    <row r="12" spans="2:6" x14ac:dyDescent="0.25">
      <c r="B12" s="208" t="s">
        <v>738</v>
      </c>
      <c r="C12" s="92"/>
      <c r="D12" s="92"/>
      <c r="E12" s="92"/>
      <c r="F12" s="92"/>
    </row>
    <row r="13" spans="2:6" x14ac:dyDescent="0.25">
      <c r="B13" s="208" t="s">
        <v>739</v>
      </c>
      <c r="C13" s="92"/>
      <c r="D13" s="92"/>
      <c r="E13" s="92"/>
      <c r="F13" s="92"/>
    </row>
    <row r="14" spans="2:6" x14ac:dyDescent="0.25">
      <c r="B14" s="208" t="s">
        <v>740</v>
      </c>
      <c r="C14" s="92"/>
      <c r="D14" s="92"/>
      <c r="E14" s="92"/>
      <c r="F14" s="92"/>
    </row>
    <row r="15" spans="2:6" x14ac:dyDescent="0.25">
      <c r="B15" s="208" t="s">
        <v>741</v>
      </c>
      <c r="C15" s="92"/>
      <c r="D15" s="92"/>
      <c r="E15" s="92"/>
      <c r="F15" s="92"/>
    </row>
    <row r="16" spans="2:6" x14ac:dyDescent="0.25">
      <c r="B16" s="180"/>
      <c r="C16" s="92"/>
      <c r="D16" s="92"/>
      <c r="E16" s="92"/>
      <c r="F16" s="92"/>
    </row>
    <row r="17" spans="2:6" x14ac:dyDescent="0.25">
      <c r="B17" s="180" t="s">
        <v>747</v>
      </c>
      <c r="C17" s="92"/>
      <c r="D17" s="92"/>
      <c r="E17" s="92"/>
      <c r="F17" s="92"/>
    </row>
    <row r="18" spans="2:6" x14ac:dyDescent="0.25">
      <c r="B18" s="180" t="s">
        <v>748</v>
      </c>
      <c r="C18" s="92"/>
      <c r="D18" s="92"/>
      <c r="E18" s="92"/>
      <c r="F18" s="92"/>
    </row>
    <row r="19" spans="2:6" x14ac:dyDescent="0.25">
      <c r="B19" s="180" t="s">
        <v>744</v>
      </c>
      <c r="C19" s="92"/>
      <c r="D19" s="92"/>
      <c r="E19" s="92"/>
      <c r="F19" s="92"/>
    </row>
    <row r="20" spans="2:6" x14ac:dyDescent="0.25">
      <c r="B20" s="180" t="s">
        <v>745</v>
      </c>
      <c r="C20" s="92"/>
      <c r="D20" s="92"/>
      <c r="E20" s="92"/>
      <c r="F20" s="92"/>
    </row>
    <row r="21" spans="2:6" x14ac:dyDescent="0.25">
      <c r="B21" s="180" t="s">
        <v>746</v>
      </c>
      <c r="C21" s="92"/>
      <c r="D21" s="92"/>
      <c r="E21" s="92"/>
      <c r="F21" s="92"/>
    </row>
    <row r="22" spans="2:6" x14ac:dyDescent="0.25">
      <c r="B22" s="180" t="s">
        <v>749</v>
      </c>
      <c r="C22" s="92"/>
      <c r="D22" s="92"/>
      <c r="E22" s="92"/>
      <c r="F22" s="92"/>
    </row>
    <row r="23" spans="2:6" x14ac:dyDescent="0.25">
      <c r="B23" s="180"/>
      <c r="C23" s="92"/>
      <c r="D23" s="92"/>
      <c r="E23" s="92"/>
      <c r="F23" s="92"/>
    </row>
    <row r="24" spans="2:6" x14ac:dyDescent="0.25">
      <c r="B24" s="180" t="s">
        <v>750</v>
      </c>
      <c r="C24" s="92"/>
      <c r="D24" s="92"/>
      <c r="E24" s="92"/>
      <c r="F24" s="92"/>
    </row>
    <row r="25" spans="2:6" x14ac:dyDescent="0.25">
      <c r="B25" s="180" t="s">
        <v>751</v>
      </c>
      <c r="C25" s="92"/>
      <c r="D25" s="92"/>
      <c r="E25" s="92"/>
      <c r="F25" s="92"/>
    </row>
    <row r="26" spans="2:6" x14ac:dyDescent="0.25">
      <c r="B26" s="180"/>
      <c r="C26" s="92"/>
      <c r="D26" s="92"/>
      <c r="E26" s="92"/>
      <c r="F26" s="92"/>
    </row>
    <row r="27" spans="2:6" x14ac:dyDescent="0.25">
      <c r="B27" s="180" t="s">
        <v>752</v>
      </c>
      <c r="C27" s="92"/>
      <c r="D27" s="92"/>
      <c r="E27" s="92"/>
      <c r="F27" s="92"/>
    </row>
    <row r="28" spans="2:6" x14ac:dyDescent="0.25">
      <c r="B28" s="180" t="s">
        <v>753</v>
      </c>
      <c r="C28" s="92"/>
      <c r="D28" s="92"/>
      <c r="E28" s="92"/>
      <c r="F28" s="92"/>
    </row>
    <row r="29" spans="2:6" x14ac:dyDescent="0.25">
      <c r="B29" s="180" t="s">
        <v>754</v>
      </c>
      <c r="C29" s="92"/>
      <c r="D29" s="92"/>
      <c r="E29" s="92"/>
      <c r="F29" s="92"/>
    </row>
    <row r="30" spans="2:6" x14ac:dyDescent="0.25">
      <c r="B30" s="180"/>
      <c r="C30" s="92"/>
      <c r="D30" s="92"/>
      <c r="E30" s="92"/>
      <c r="F30" s="92"/>
    </row>
    <row r="31" spans="2:6" x14ac:dyDescent="0.25">
      <c r="B31" s="180" t="s">
        <v>755</v>
      </c>
      <c r="C31" s="92"/>
      <c r="D31" s="92"/>
      <c r="E31" s="92"/>
      <c r="F31" s="92"/>
    </row>
    <row r="32" spans="2:6" x14ac:dyDescent="0.25">
      <c r="B32" s="180" t="s">
        <v>756</v>
      </c>
      <c r="C32" s="92"/>
      <c r="D32" s="92"/>
      <c r="E32" s="92"/>
      <c r="F32" s="92"/>
    </row>
    <row r="33" spans="2:6" x14ac:dyDescent="0.25">
      <c r="B33" s="180"/>
      <c r="C33" s="92"/>
      <c r="D33" s="92"/>
      <c r="E33" s="92"/>
      <c r="F33" s="92"/>
    </row>
    <row r="34" spans="2:6" x14ac:dyDescent="0.25">
      <c r="B34" s="180" t="s">
        <v>757</v>
      </c>
      <c r="C34" s="92"/>
      <c r="D34" s="92"/>
      <c r="E34" s="92"/>
      <c r="F34" s="92"/>
    </row>
    <row r="35" spans="2:6" x14ac:dyDescent="0.25">
      <c r="B35" s="180" t="s">
        <v>758</v>
      </c>
      <c r="C35" s="92"/>
      <c r="D35" s="92"/>
      <c r="E35" s="92"/>
      <c r="F35" s="92"/>
    </row>
    <row r="36" spans="2:6" x14ac:dyDescent="0.25">
      <c r="B36" s="180" t="s">
        <v>759</v>
      </c>
      <c r="C36" s="92"/>
      <c r="D36" s="92"/>
      <c r="E36" s="92"/>
      <c r="F36" s="92"/>
    </row>
    <row r="37" spans="2:6" x14ac:dyDescent="0.25">
      <c r="B37" s="180"/>
      <c r="C37" s="92"/>
      <c r="D37" s="92"/>
      <c r="E37" s="92"/>
      <c r="F37" s="92"/>
    </row>
    <row r="38" spans="2:6" x14ac:dyDescent="0.25">
      <c r="B38" s="180" t="s">
        <v>760</v>
      </c>
      <c r="C38" s="92"/>
      <c r="D38" s="92"/>
      <c r="E38" s="92"/>
      <c r="F38" s="92"/>
    </row>
    <row r="39" spans="2:6" x14ac:dyDescent="0.25">
      <c r="B39" s="180"/>
      <c r="C39" s="92"/>
      <c r="D39" s="92"/>
      <c r="E39" s="92"/>
      <c r="F39" s="92"/>
    </row>
    <row r="40" spans="2:6" x14ac:dyDescent="0.25">
      <c r="B40" s="89" t="s">
        <v>260</v>
      </c>
      <c r="C40" s="89"/>
      <c r="D40" s="89"/>
      <c r="E40" s="89"/>
      <c r="F40" s="89"/>
    </row>
    <row r="41" spans="2:6" x14ac:dyDescent="0.25">
      <c r="B41" s="180" t="s">
        <v>290</v>
      </c>
      <c r="C41" s="90"/>
      <c r="D41" s="90"/>
      <c r="E41" s="90"/>
      <c r="F41" s="90"/>
    </row>
    <row r="42" spans="2:6" x14ac:dyDescent="0.25">
      <c r="B42" s="180" t="s">
        <v>761</v>
      </c>
      <c r="C42" s="90"/>
      <c r="D42" s="90"/>
      <c r="E42" s="90"/>
      <c r="F42" s="90"/>
    </row>
    <row r="43" spans="2:6" x14ac:dyDescent="0.25">
      <c r="B43" s="180" t="s">
        <v>867</v>
      </c>
      <c r="C43" s="90"/>
      <c r="D43" s="90"/>
      <c r="E43" s="90"/>
      <c r="F43" s="90"/>
    </row>
    <row r="44" spans="2:6" x14ac:dyDescent="0.25">
      <c r="B44" s="180" t="s">
        <v>762</v>
      </c>
      <c r="C44" s="92"/>
      <c r="D44" s="92"/>
      <c r="E44" s="92"/>
      <c r="F44" s="92"/>
    </row>
    <row r="45" spans="2:6" x14ac:dyDescent="0.25">
      <c r="B45" s="180" t="s">
        <v>763</v>
      </c>
      <c r="C45" s="92"/>
      <c r="D45" s="92"/>
      <c r="E45" s="92"/>
      <c r="F45" s="92"/>
    </row>
    <row r="46" spans="2:6" x14ac:dyDescent="0.25">
      <c r="B46" s="180" t="s">
        <v>769</v>
      </c>
      <c r="C46" s="92"/>
      <c r="D46" s="92"/>
      <c r="E46" s="92"/>
      <c r="F46" s="92"/>
    </row>
    <row r="47" spans="2:6" x14ac:dyDescent="0.25">
      <c r="B47" s="180" t="s">
        <v>764</v>
      </c>
      <c r="C47" s="92"/>
      <c r="D47" s="92"/>
      <c r="E47" s="92"/>
      <c r="F47" s="92"/>
    </row>
    <row r="48" spans="2:6" x14ac:dyDescent="0.25">
      <c r="B48" s="180" t="s">
        <v>217</v>
      </c>
      <c r="C48" s="92"/>
      <c r="D48" s="92"/>
      <c r="E48" s="92"/>
      <c r="F48" s="92"/>
    </row>
    <row r="49" spans="2:6" x14ac:dyDescent="0.25">
      <c r="B49" s="180" t="s">
        <v>770</v>
      </c>
      <c r="C49" s="92"/>
      <c r="D49" s="92"/>
      <c r="E49" s="92"/>
      <c r="F49" s="92"/>
    </row>
    <row r="50" spans="2:6" x14ac:dyDescent="0.25">
      <c r="B50" s="180" t="s">
        <v>771</v>
      </c>
      <c r="C50" s="92"/>
      <c r="D50" s="92"/>
      <c r="E50" s="92"/>
      <c r="F50" s="92"/>
    </row>
    <row r="51" spans="2:6" x14ac:dyDescent="0.25">
      <c r="B51" s="180" t="s">
        <v>772</v>
      </c>
      <c r="C51" s="92"/>
      <c r="D51" s="92"/>
      <c r="E51" s="92"/>
      <c r="F51" s="92"/>
    </row>
    <row r="52" spans="2:6" x14ac:dyDescent="0.25">
      <c r="B52" s="180" t="s">
        <v>765</v>
      </c>
      <c r="C52" s="90"/>
      <c r="D52" s="90"/>
      <c r="E52" s="90"/>
      <c r="F52" s="90"/>
    </row>
    <row r="53" spans="2:6" x14ac:dyDescent="0.25">
      <c r="B53" s="180" t="s">
        <v>773</v>
      </c>
      <c r="C53" s="90"/>
      <c r="D53" s="90"/>
      <c r="E53" s="90"/>
      <c r="F53" s="90"/>
    </row>
    <row r="54" spans="2:6" x14ac:dyDescent="0.25">
      <c r="B54" s="180" t="s">
        <v>774</v>
      </c>
      <c r="C54" s="90"/>
      <c r="D54" s="90"/>
      <c r="E54" s="90"/>
      <c r="F54" s="90"/>
    </row>
    <row r="55" spans="2:6" x14ac:dyDescent="0.25">
      <c r="B55" s="180" t="s">
        <v>775</v>
      </c>
      <c r="C55" s="90"/>
      <c r="D55" s="90"/>
      <c r="E55" s="90"/>
      <c r="F55" s="90"/>
    </row>
    <row r="56" spans="2:6" x14ac:dyDescent="0.25">
      <c r="B56" s="180" t="s">
        <v>776</v>
      </c>
      <c r="C56" s="90"/>
      <c r="D56" s="90"/>
      <c r="E56" s="90"/>
      <c r="F56" s="90"/>
    </row>
    <row r="57" spans="2:6" x14ac:dyDescent="0.25">
      <c r="B57" s="180" t="s">
        <v>218</v>
      </c>
      <c r="C57" s="90"/>
      <c r="D57" s="90"/>
      <c r="E57" s="90"/>
      <c r="F57" s="90"/>
    </row>
    <row r="58" spans="2:6" x14ac:dyDescent="0.25">
      <c r="B58" s="180" t="s">
        <v>766</v>
      </c>
      <c r="C58" s="90"/>
      <c r="D58" s="90"/>
      <c r="E58" s="90"/>
      <c r="F58" s="90"/>
    </row>
    <row r="59" spans="2:6" x14ac:dyDescent="0.25">
      <c r="B59" s="180" t="s">
        <v>777</v>
      </c>
      <c r="C59" s="90"/>
      <c r="D59" s="90"/>
      <c r="E59" s="90"/>
      <c r="F59" s="90"/>
    </row>
    <row r="60" spans="2:6" x14ac:dyDescent="0.25">
      <c r="B60" s="180" t="s">
        <v>767</v>
      </c>
      <c r="C60" s="90"/>
      <c r="D60" s="90"/>
      <c r="E60" s="90"/>
      <c r="F60" s="90"/>
    </row>
    <row r="61" spans="2:6" x14ac:dyDescent="0.25">
      <c r="B61" s="180" t="s">
        <v>780</v>
      </c>
      <c r="C61" s="90"/>
      <c r="D61" s="90"/>
      <c r="E61" s="90"/>
      <c r="F61" s="90"/>
    </row>
    <row r="62" spans="2:6" x14ac:dyDescent="0.25">
      <c r="B62" s="180" t="s">
        <v>778</v>
      </c>
      <c r="C62" s="90"/>
      <c r="D62" s="90"/>
      <c r="E62" s="90"/>
      <c r="F62" s="90"/>
    </row>
    <row r="63" spans="2:6" x14ac:dyDescent="0.25">
      <c r="B63" s="180" t="s">
        <v>779</v>
      </c>
      <c r="C63" s="90"/>
      <c r="D63" s="90"/>
      <c r="E63" s="90"/>
      <c r="F63" s="90"/>
    </row>
    <row r="64" spans="2:6" x14ac:dyDescent="0.25">
      <c r="B64" s="180" t="s">
        <v>219</v>
      </c>
      <c r="C64" s="90"/>
      <c r="D64" s="90"/>
      <c r="E64" s="90"/>
      <c r="F64" s="90"/>
    </row>
    <row r="65" spans="2:6" x14ac:dyDescent="0.25">
      <c r="B65" s="180" t="s">
        <v>768</v>
      </c>
      <c r="C65" s="90"/>
      <c r="D65" s="90"/>
      <c r="E65" s="90"/>
      <c r="F65" s="90"/>
    </row>
    <row r="66" spans="2:6" x14ac:dyDescent="0.25">
      <c r="B66" s="180" t="s">
        <v>781</v>
      </c>
      <c r="C66" s="90"/>
      <c r="D66" s="90"/>
      <c r="E66" s="90"/>
      <c r="F66" s="90"/>
    </row>
    <row r="67" spans="2:6" x14ac:dyDescent="0.25">
      <c r="B67" s="180" t="s">
        <v>782</v>
      </c>
      <c r="C67" s="90"/>
      <c r="D67" s="90"/>
      <c r="E67" s="90"/>
      <c r="F67" s="90"/>
    </row>
    <row r="68" spans="2:6" x14ac:dyDescent="0.25">
      <c r="B68" s="180"/>
      <c r="C68" s="90"/>
      <c r="D68" s="90"/>
      <c r="E68" s="90"/>
      <c r="F68" s="90"/>
    </row>
    <row r="69" spans="2:6" ht="13.2" customHeight="1" x14ac:dyDescent="0.25">
      <c r="B69" s="180" t="s">
        <v>290</v>
      </c>
      <c r="C69" s="92"/>
      <c r="D69" s="92"/>
      <c r="E69" s="92"/>
      <c r="F69" s="92"/>
    </row>
    <row r="70" spans="2:6" ht="13.2" customHeight="1" x14ac:dyDescent="0.25">
      <c r="B70" s="180" t="s">
        <v>217</v>
      </c>
      <c r="C70" s="92"/>
      <c r="D70" s="92"/>
      <c r="E70" s="92"/>
      <c r="F70" s="92"/>
    </row>
    <row r="71" spans="2:6" ht="13.2" customHeight="1" x14ac:dyDescent="0.25">
      <c r="B71" s="180" t="s">
        <v>218</v>
      </c>
      <c r="C71" s="92"/>
      <c r="D71" s="92"/>
      <c r="E71" s="92"/>
      <c r="F71" s="92"/>
    </row>
    <row r="72" spans="2:6" ht="13.2" customHeight="1" x14ac:dyDescent="0.25">
      <c r="B72" s="180" t="s">
        <v>219</v>
      </c>
      <c r="C72" s="92"/>
      <c r="D72" s="92"/>
      <c r="E72" s="92"/>
      <c r="F72" s="92"/>
    </row>
    <row r="73" spans="2:6" ht="13.2" customHeight="1" x14ac:dyDescent="0.25">
      <c r="B73" s="180" t="s">
        <v>784</v>
      </c>
      <c r="C73" s="92"/>
      <c r="D73" s="92"/>
      <c r="E73" s="92"/>
      <c r="F73" s="92"/>
    </row>
    <row r="74" spans="2:6" ht="13.2" customHeight="1" x14ac:dyDescent="0.25">
      <c r="B74" s="180" t="s">
        <v>783</v>
      </c>
      <c r="C74" s="92"/>
      <c r="D74" s="92"/>
      <c r="E74" s="92"/>
      <c r="F74" s="92"/>
    </row>
    <row r="75" spans="2:6" ht="13.2" customHeight="1" x14ac:dyDescent="0.25">
      <c r="B75" s="180"/>
      <c r="C75" s="92"/>
      <c r="D75" s="92"/>
      <c r="E75" s="92"/>
      <c r="F75" s="92"/>
    </row>
    <row r="76" spans="2:6" ht="13.2" customHeight="1" x14ac:dyDescent="0.25">
      <c r="B76" s="89" t="s">
        <v>261</v>
      </c>
      <c r="C76" s="89"/>
      <c r="D76" s="89"/>
      <c r="E76" s="89"/>
      <c r="F76" s="89"/>
    </row>
    <row r="77" spans="2:6" ht="13.2" customHeight="1" x14ac:dyDescent="0.25">
      <c r="B77" s="180" t="s">
        <v>788</v>
      </c>
      <c r="C77" s="92"/>
      <c r="D77" s="92"/>
      <c r="E77" s="92"/>
      <c r="F77" s="92"/>
    </row>
    <row r="78" spans="2:6" ht="13.2" customHeight="1" x14ac:dyDescent="0.25">
      <c r="B78" s="180" t="s">
        <v>789</v>
      </c>
      <c r="C78" s="92"/>
      <c r="D78" s="92"/>
      <c r="E78" s="92"/>
      <c r="F78" s="92"/>
    </row>
    <row r="79" spans="2:6" ht="13.2" customHeight="1" x14ac:dyDescent="0.25">
      <c r="B79" s="180" t="s">
        <v>790</v>
      </c>
      <c r="C79" s="92"/>
      <c r="D79" s="92"/>
      <c r="E79" s="92"/>
      <c r="F79" s="92"/>
    </row>
    <row r="80" spans="2:6" ht="13.2" customHeight="1" x14ac:dyDescent="0.25">
      <c r="B80" s="180" t="s">
        <v>791</v>
      </c>
      <c r="C80" s="92"/>
      <c r="D80" s="92"/>
      <c r="E80" s="92"/>
      <c r="F80" s="92"/>
    </row>
    <row r="81" spans="2:8" ht="13.2" customHeight="1" x14ac:dyDescent="0.25">
      <c r="B81" s="180"/>
      <c r="C81" s="92"/>
      <c r="D81" s="92"/>
      <c r="E81" s="92"/>
      <c r="F81" s="92"/>
    </row>
    <row r="82" spans="2:8" ht="13.2" customHeight="1" x14ac:dyDescent="0.25">
      <c r="B82" s="180" t="s">
        <v>792</v>
      </c>
      <c r="C82" s="92"/>
      <c r="D82" s="92"/>
      <c r="E82" s="92"/>
      <c r="F82" s="92"/>
    </row>
    <row r="83" spans="2:8" x14ac:dyDescent="0.25">
      <c r="B83" s="180" t="s">
        <v>793</v>
      </c>
      <c r="C83" s="96"/>
      <c r="D83" s="96"/>
      <c r="E83" s="96"/>
      <c r="F83" s="96"/>
    </row>
    <row r="84" spans="2:8" x14ac:dyDescent="0.25">
      <c r="B84" s="180" t="s">
        <v>794</v>
      </c>
      <c r="C84" s="96"/>
      <c r="D84" s="96"/>
      <c r="E84" s="96"/>
      <c r="F84" s="96"/>
    </row>
    <row r="85" spans="2:8" x14ac:dyDescent="0.25">
      <c r="B85" s="93"/>
      <c r="C85" s="93"/>
      <c r="D85" s="94"/>
      <c r="E85" s="94"/>
      <c r="F85" s="94"/>
    </row>
    <row r="86" spans="2:8" x14ac:dyDescent="0.25">
      <c r="B86" s="93"/>
      <c r="C86" s="93"/>
      <c r="D86" s="94"/>
      <c r="E86" s="94"/>
      <c r="F86" s="94"/>
    </row>
    <row r="87" spans="2:8" x14ac:dyDescent="0.25">
      <c r="B87" s="95" t="s">
        <v>483</v>
      </c>
      <c r="C87" s="89"/>
      <c r="D87" s="89"/>
      <c r="E87" s="89"/>
      <c r="F87" s="89"/>
    </row>
    <row r="88" spans="2:8" x14ac:dyDescent="0.25">
      <c r="B88" s="180" t="s">
        <v>221</v>
      </c>
      <c r="C88" s="92">
        <f>C5</f>
        <v>0</v>
      </c>
      <c r="D88" s="92">
        <f>D5</f>
        <v>0</v>
      </c>
      <c r="E88" s="92">
        <f>E5</f>
        <v>0</v>
      </c>
      <c r="F88" s="92">
        <f>F5</f>
        <v>0</v>
      </c>
    </row>
    <row r="89" spans="2:8" x14ac:dyDescent="0.25">
      <c r="B89" s="180" t="s">
        <v>222</v>
      </c>
      <c r="C89" s="92">
        <f>C34</f>
        <v>0</v>
      </c>
      <c r="D89" s="92">
        <f>D34</f>
        <v>0</v>
      </c>
      <c r="E89" s="92">
        <f>E34</f>
        <v>0</v>
      </c>
      <c r="F89" s="92">
        <f>F34</f>
        <v>0</v>
      </c>
    </row>
    <row r="90" spans="2:8" x14ac:dyDescent="0.25">
      <c r="B90" s="180" t="s">
        <v>223</v>
      </c>
      <c r="C90" s="219" t="e">
        <f>(C5-C17)/C5</f>
        <v>#DIV/0!</v>
      </c>
      <c r="D90" s="219" t="e">
        <f>(D5-D17)/D5</f>
        <v>#DIV/0!</v>
      </c>
      <c r="E90" s="219" t="e">
        <f>(E5-E17)/E5</f>
        <v>#DIV/0!</v>
      </c>
      <c r="F90" s="219" t="e">
        <f>(F5-F17)/F5</f>
        <v>#DIV/0!</v>
      </c>
      <c r="G90" s="193" t="s">
        <v>477</v>
      </c>
      <c r="H90" s="194" t="s">
        <v>481</v>
      </c>
    </row>
    <row r="91" spans="2:8" x14ac:dyDescent="0.25">
      <c r="B91" s="180" t="s">
        <v>224</v>
      </c>
      <c r="C91" s="219" t="e">
        <f t="shared" ref="C91:E91" si="0">C35/C5</f>
        <v>#DIV/0!</v>
      </c>
      <c r="D91" s="219" t="e">
        <f t="shared" si="0"/>
        <v>#DIV/0!</v>
      </c>
      <c r="E91" s="219" t="e">
        <f t="shared" si="0"/>
        <v>#DIV/0!</v>
      </c>
      <c r="F91" s="219" t="e">
        <f>F35/F5</f>
        <v>#DIV/0!</v>
      </c>
      <c r="G91" s="193" t="s">
        <v>477</v>
      </c>
      <c r="H91" s="194" t="s">
        <v>481</v>
      </c>
    </row>
    <row r="92" spans="2:8" x14ac:dyDescent="0.25">
      <c r="B92" s="180" t="s">
        <v>478</v>
      </c>
      <c r="C92" s="219"/>
      <c r="D92" s="219" t="e">
        <f>D19/D5</f>
        <v>#DIV/0!</v>
      </c>
      <c r="E92" s="219" t="e">
        <f>E19/E5</f>
        <v>#DIV/0!</v>
      </c>
      <c r="F92" s="219" t="e">
        <f>F19/F5</f>
        <v>#DIV/0!</v>
      </c>
      <c r="G92" s="193" t="s">
        <v>477</v>
      </c>
      <c r="H92" s="194" t="s">
        <v>481</v>
      </c>
    </row>
    <row r="93" spans="2:8" x14ac:dyDescent="0.25">
      <c r="B93" s="180" t="s">
        <v>479</v>
      </c>
      <c r="C93" s="219"/>
      <c r="D93" s="219" t="e">
        <f>D20/D5</f>
        <v>#DIV/0!</v>
      </c>
      <c r="E93" s="219" t="e">
        <f>E20/E5</f>
        <v>#DIV/0!</v>
      </c>
      <c r="F93" s="219" t="e">
        <f>F20/F5</f>
        <v>#DIV/0!</v>
      </c>
      <c r="G93" s="193" t="s">
        <v>477</v>
      </c>
      <c r="H93" s="194" t="s">
        <v>481</v>
      </c>
    </row>
    <row r="94" spans="2:8" x14ac:dyDescent="0.25">
      <c r="B94" s="180" t="s">
        <v>480</v>
      </c>
      <c r="C94" s="219"/>
      <c r="D94" s="219" t="e">
        <f>D21/D5</f>
        <v>#DIV/0!</v>
      </c>
      <c r="E94" s="219" t="e">
        <f>E21/E5</f>
        <v>#DIV/0!</v>
      </c>
      <c r="F94" s="219" t="e">
        <f>F21/F5</f>
        <v>#DIV/0!</v>
      </c>
      <c r="G94" s="193" t="s">
        <v>477</v>
      </c>
      <c r="H94" s="194" t="s">
        <v>481</v>
      </c>
    </row>
    <row r="95" spans="2:8" x14ac:dyDescent="0.25">
      <c r="B95" s="180" t="s">
        <v>722</v>
      </c>
      <c r="C95" s="219"/>
      <c r="D95" s="219" t="e">
        <f>SUM(D92:D94)</f>
        <v>#DIV/0!</v>
      </c>
      <c r="E95" s="219" t="e">
        <f t="shared" ref="E95:F95" si="1">SUM(E92:E94)</f>
        <v>#DIV/0!</v>
      </c>
      <c r="F95" s="219" t="e">
        <f t="shared" si="1"/>
        <v>#DIV/0!</v>
      </c>
      <c r="G95" s="193" t="s">
        <v>477</v>
      </c>
      <c r="H95" s="194" t="s">
        <v>481</v>
      </c>
    </row>
    <row r="96" spans="2:8" x14ac:dyDescent="0.25">
      <c r="B96" s="95" t="s">
        <v>484</v>
      </c>
      <c r="C96" s="220"/>
      <c r="D96" s="220"/>
      <c r="E96" s="220"/>
      <c r="F96" s="220"/>
      <c r="G96" s="193"/>
      <c r="H96" s="194"/>
    </row>
    <row r="97" spans="2:8" x14ac:dyDescent="0.25">
      <c r="B97" s="180" t="s">
        <v>698</v>
      </c>
      <c r="C97" s="219"/>
      <c r="D97" s="219" t="e">
        <f t="shared" ref="D97:F98" si="2">D88/C88-1</f>
        <v>#DIV/0!</v>
      </c>
      <c r="E97" s="219" t="e">
        <f t="shared" si="2"/>
        <v>#DIV/0!</v>
      </c>
      <c r="F97" s="219" t="e">
        <f t="shared" si="2"/>
        <v>#DIV/0!</v>
      </c>
      <c r="G97" s="193" t="s">
        <v>477</v>
      </c>
      <c r="H97" s="194" t="s">
        <v>482</v>
      </c>
    </row>
    <row r="98" spans="2:8" x14ac:dyDescent="0.25">
      <c r="B98" s="180" t="s">
        <v>699</v>
      </c>
      <c r="C98" s="219"/>
      <c r="D98" s="219" t="e">
        <f t="shared" si="2"/>
        <v>#DIV/0!</v>
      </c>
      <c r="E98" s="219" t="e">
        <f t="shared" si="2"/>
        <v>#DIV/0!</v>
      </c>
      <c r="F98" s="219" t="e">
        <f t="shared" si="2"/>
        <v>#DIV/0!</v>
      </c>
      <c r="G98" s="193" t="s">
        <v>477</v>
      </c>
      <c r="H98" s="194" t="s">
        <v>482</v>
      </c>
    </row>
    <row r="99" spans="2:8" x14ac:dyDescent="0.25">
      <c r="B99" s="95" t="s">
        <v>485</v>
      </c>
      <c r="C99" s="89"/>
      <c r="D99" s="89"/>
      <c r="E99" s="89"/>
      <c r="F99" s="89"/>
    </row>
    <row r="100" spans="2:8" x14ac:dyDescent="0.25">
      <c r="B100" s="180" t="s">
        <v>795</v>
      </c>
      <c r="C100" s="221"/>
      <c r="D100" s="221" t="e">
        <f>360/(D17/((D47+C47)/2))</f>
        <v>#DIV/0!</v>
      </c>
      <c r="E100" s="221" t="e">
        <f>360/(E17/((E47+D47)/2))</f>
        <v>#DIV/0!</v>
      </c>
      <c r="F100" s="221" t="e">
        <f>360/(F17/((F47+E47)/2))</f>
        <v>#DIV/0!</v>
      </c>
      <c r="G100" s="193" t="s">
        <v>477</v>
      </c>
      <c r="H100" s="194" t="s">
        <v>486</v>
      </c>
    </row>
    <row r="101" spans="2:8" x14ac:dyDescent="0.25">
      <c r="B101" s="180" t="s">
        <v>796</v>
      </c>
      <c r="C101" s="221"/>
      <c r="D101" s="221" t="e">
        <f>360/(D88/((D44+C44)/2))</f>
        <v>#DIV/0!</v>
      </c>
      <c r="E101" s="221" t="e">
        <f>360/(E88/((E44+D44)/2))</f>
        <v>#DIV/0!</v>
      </c>
      <c r="F101" s="221" t="e">
        <f>360/(F88/((F44+E44)/2))</f>
        <v>#DIV/0!</v>
      </c>
      <c r="G101" s="193" t="s">
        <v>477</v>
      </c>
      <c r="H101" s="194" t="s">
        <v>486</v>
      </c>
    </row>
    <row r="102" spans="2:8" x14ac:dyDescent="0.25">
      <c r="B102" s="180" t="s">
        <v>797</v>
      </c>
      <c r="C102" s="219"/>
      <c r="D102" s="219"/>
      <c r="E102" s="219"/>
      <c r="F102" s="219"/>
      <c r="G102" s="193" t="s">
        <v>477</v>
      </c>
      <c r="H102" s="194" t="s">
        <v>486</v>
      </c>
    </row>
    <row r="103" spans="2:8" x14ac:dyDescent="0.25">
      <c r="B103" s="180" t="s">
        <v>798</v>
      </c>
      <c r="C103" s="219"/>
      <c r="D103" s="219"/>
      <c r="E103" s="219"/>
      <c r="F103" s="219"/>
      <c r="G103" s="193" t="s">
        <v>477</v>
      </c>
      <c r="H103" s="194" t="s">
        <v>486</v>
      </c>
    </row>
    <row r="104" spans="2:8" x14ac:dyDescent="0.25">
      <c r="B104" s="180" t="s">
        <v>799</v>
      </c>
      <c r="C104" s="219"/>
      <c r="D104" s="219" t="e">
        <f>D88/((D73+C73)/2)</f>
        <v>#DIV/0!</v>
      </c>
      <c r="E104" s="219" t="e">
        <f>E88/((E73+D73)/2)</f>
        <v>#DIV/0!</v>
      </c>
      <c r="F104" s="219" t="e">
        <f>F88/((F73+E73)/2)</f>
        <v>#DIV/0!</v>
      </c>
      <c r="G104" s="193" t="s">
        <v>477</v>
      </c>
      <c r="H104" s="194" t="s">
        <v>486</v>
      </c>
    </row>
    <row r="105" spans="2:8" x14ac:dyDescent="0.25">
      <c r="B105" s="95" t="s">
        <v>816</v>
      </c>
      <c r="C105" s="89"/>
      <c r="D105" s="89"/>
      <c r="E105" s="89"/>
      <c r="F105" s="89"/>
    </row>
    <row r="106" spans="2:8" x14ac:dyDescent="0.25">
      <c r="B106" s="180" t="s">
        <v>817</v>
      </c>
      <c r="C106" s="221"/>
      <c r="D106" s="221"/>
      <c r="E106" s="221"/>
      <c r="F106" s="221"/>
      <c r="G106" s="193"/>
      <c r="H106" s="194"/>
    </row>
    <row r="107" spans="2:8" x14ac:dyDescent="0.25">
      <c r="B107" s="180" t="s">
        <v>818</v>
      </c>
      <c r="C107" s="221"/>
      <c r="D107" s="221"/>
      <c r="E107" s="221"/>
      <c r="F107" s="221"/>
      <c r="G107" s="193"/>
      <c r="H107" s="194"/>
    </row>
    <row r="108" spans="2:8" x14ac:dyDescent="0.25">
      <c r="B108" s="95" t="s">
        <v>806</v>
      </c>
      <c r="C108" s="89"/>
      <c r="D108" s="89"/>
      <c r="E108" s="89"/>
      <c r="F108" s="89"/>
      <c r="G108" s="193"/>
      <c r="H108" s="194"/>
    </row>
    <row r="109" spans="2:8" x14ac:dyDescent="0.25">
      <c r="B109" s="180" t="s">
        <v>800</v>
      </c>
      <c r="C109" s="219"/>
      <c r="D109" s="219"/>
      <c r="E109" s="219"/>
      <c r="F109" s="219"/>
      <c r="G109" s="193"/>
      <c r="H109" s="194"/>
    </row>
    <row r="110" spans="2:8" x14ac:dyDescent="0.25">
      <c r="B110" s="180" t="s">
        <v>697</v>
      </c>
      <c r="C110" s="92"/>
      <c r="D110" s="92"/>
      <c r="E110" s="92"/>
      <c r="F110" s="92"/>
      <c r="G110" s="193"/>
      <c r="H110" s="194"/>
    </row>
    <row r="111" spans="2:8" x14ac:dyDescent="0.25">
      <c r="B111" s="180" t="s">
        <v>801</v>
      </c>
      <c r="C111" s="219"/>
      <c r="D111" s="219"/>
      <c r="E111" s="219"/>
      <c r="F111" s="219"/>
      <c r="G111" s="193"/>
      <c r="H111" s="194"/>
    </row>
    <row r="112" spans="2:8" x14ac:dyDescent="0.25">
      <c r="B112" s="180" t="s">
        <v>802</v>
      </c>
      <c r="C112" s="222" t="e">
        <f>C110/C109</f>
        <v>#DIV/0!</v>
      </c>
      <c r="D112" s="222" t="e">
        <f>D110/D109</f>
        <v>#DIV/0!</v>
      </c>
      <c r="E112" s="222" t="e">
        <f>E110/E109</f>
        <v>#DIV/0!</v>
      </c>
      <c r="F112" s="222" t="e">
        <f>F110/F109</f>
        <v>#DIV/0!</v>
      </c>
      <c r="G112" s="193"/>
      <c r="H112" s="194"/>
    </row>
    <row r="113" spans="2:12" x14ac:dyDescent="0.25">
      <c r="B113" s="180" t="s">
        <v>803</v>
      </c>
      <c r="C113" s="222" t="e">
        <f>C88/C109</f>
        <v>#DIV/0!</v>
      </c>
      <c r="D113" s="222" t="e">
        <f>D88/D109</f>
        <v>#DIV/0!</v>
      </c>
      <c r="E113" s="222" t="e">
        <f>E88/E109</f>
        <v>#DIV/0!</v>
      </c>
      <c r="F113" s="222" t="e">
        <f>F88/F109</f>
        <v>#DIV/0!</v>
      </c>
      <c r="G113" s="193"/>
      <c r="H113" s="194"/>
    </row>
    <row r="114" spans="2:12" x14ac:dyDescent="0.25">
      <c r="B114" s="180" t="s">
        <v>804</v>
      </c>
      <c r="C114" s="219"/>
      <c r="D114" s="219" t="e">
        <f t="shared" ref="D114:E114" si="3">D113/C113-1</f>
        <v>#DIV/0!</v>
      </c>
      <c r="E114" s="219" t="e">
        <f t="shared" si="3"/>
        <v>#DIV/0!</v>
      </c>
      <c r="F114" s="219" t="e">
        <f>F113/E113-1</f>
        <v>#DIV/0!</v>
      </c>
      <c r="G114" s="193"/>
      <c r="H114" s="194"/>
    </row>
    <row r="115" spans="2:12" x14ac:dyDescent="0.25">
      <c r="B115" s="180" t="s">
        <v>805</v>
      </c>
      <c r="C115" s="223"/>
      <c r="D115" s="223"/>
      <c r="E115" s="223"/>
      <c r="F115" s="223"/>
      <c r="G115" s="193"/>
      <c r="H115" s="194"/>
    </row>
    <row r="116" spans="2:12" x14ac:dyDescent="0.25">
      <c r="B116" s="95" t="s">
        <v>807</v>
      </c>
      <c r="C116" s="89"/>
      <c r="D116" s="89"/>
      <c r="E116" s="89"/>
      <c r="F116" s="89"/>
    </row>
    <row r="117" spans="2:12" x14ac:dyDescent="0.25">
      <c r="B117" s="180" t="s">
        <v>488</v>
      </c>
      <c r="C117" s="219"/>
      <c r="D117" s="219" t="e">
        <f>D34/((D73+C73)/2)</f>
        <v>#DIV/0!</v>
      </c>
      <c r="E117" s="219" t="e">
        <f>E34/((E73+D73)/2)</f>
        <v>#DIV/0!</v>
      </c>
      <c r="F117" s="219" t="e">
        <f>F34/((F73+E73)/2)</f>
        <v>#DIV/0!</v>
      </c>
      <c r="G117" s="193" t="s">
        <v>477</v>
      </c>
      <c r="H117" s="194" t="s">
        <v>489</v>
      </c>
      <c r="L117" s="40" t="s">
        <v>51</v>
      </c>
    </row>
    <row r="118" spans="2:12" x14ac:dyDescent="0.25">
      <c r="B118" s="180" t="s">
        <v>487</v>
      </c>
      <c r="C118" s="219"/>
      <c r="D118" s="219"/>
      <c r="E118" s="219"/>
      <c r="F118" s="219"/>
      <c r="G118" s="193" t="s">
        <v>477</v>
      </c>
      <c r="H118" s="194" t="s">
        <v>489</v>
      </c>
    </row>
    <row r="119" spans="2:12" x14ac:dyDescent="0.25">
      <c r="B119" s="180" t="s">
        <v>700</v>
      </c>
      <c r="C119" s="219" t="e">
        <f>C91</f>
        <v>#DIV/0!</v>
      </c>
      <c r="D119" s="219" t="e">
        <f>D91</f>
        <v>#DIV/0!</v>
      </c>
      <c r="E119" s="219" t="e">
        <f>E91</f>
        <v>#DIV/0!</v>
      </c>
      <c r="F119" s="219" t="e">
        <f>F91</f>
        <v>#DIV/0!</v>
      </c>
      <c r="G119" s="193" t="s">
        <v>477</v>
      </c>
      <c r="H119" s="194" t="s">
        <v>489</v>
      </c>
      <c r="L119" s="40" t="s">
        <v>49</v>
      </c>
    </row>
    <row r="120" spans="2:12" x14ac:dyDescent="0.25">
      <c r="B120" s="180" t="s">
        <v>701</v>
      </c>
      <c r="C120" s="219" t="e">
        <f>C5/(C69+C70)</f>
        <v>#DIV/0!</v>
      </c>
      <c r="D120" s="219" t="e">
        <f>D5/(D69+D70)</f>
        <v>#DIV/0!</v>
      </c>
      <c r="E120" s="219" t="e">
        <f>E5/(E69+E70)</f>
        <v>#DIV/0!</v>
      </c>
      <c r="F120" s="219" t="e">
        <f>F5/(F69+F70)</f>
        <v>#DIV/0!</v>
      </c>
      <c r="G120" s="193" t="s">
        <v>477</v>
      </c>
      <c r="H120" s="194" t="s">
        <v>489</v>
      </c>
      <c r="L120" s="40" t="s">
        <v>474</v>
      </c>
    </row>
    <row r="121" spans="2:12" x14ac:dyDescent="0.25">
      <c r="B121" s="180" t="s">
        <v>702</v>
      </c>
      <c r="C121" s="219" t="e">
        <f>(C69+C70)/C73</f>
        <v>#DIV/0!</v>
      </c>
      <c r="D121" s="219" t="e">
        <f>(D69+D70)/D73</f>
        <v>#DIV/0!</v>
      </c>
      <c r="E121" s="219" t="e">
        <f>(E69+E70)/E73</f>
        <v>#DIV/0!</v>
      </c>
      <c r="F121" s="219" t="e">
        <f>(F69+F70)/F73</f>
        <v>#DIV/0!</v>
      </c>
      <c r="G121" s="193" t="s">
        <v>477</v>
      </c>
      <c r="H121" s="194" t="s">
        <v>489</v>
      </c>
      <c r="L121" s="40" t="s">
        <v>50</v>
      </c>
    </row>
    <row r="122" spans="2:12" x14ac:dyDescent="0.25">
      <c r="B122" s="180" t="s">
        <v>703</v>
      </c>
      <c r="C122" s="219" t="e">
        <f>C119*C120*C121</f>
        <v>#DIV/0!</v>
      </c>
      <c r="D122" s="219" t="e">
        <f>D119*D120*D121</f>
        <v>#DIV/0!</v>
      </c>
      <c r="E122" s="219" t="e">
        <f t="shared" ref="E122:F122" si="4">E119*E120*E121</f>
        <v>#DIV/0!</v>
      </c>
      <c r="F122" s="219" t="e">
        <f t="shared" si="4"/>
        <v>#DIV/0!</v>
      </c>
      <c r="G122" s="193" t="s">
        <v>477</v>
      </c>
      <c r="H122" s="194" t="s">
        <v>489</v>
      </c>
    </row>
    <row r="123" spans="2:12" x14ac:dyDescent="0.25">
      <c r="B123" s="180"/>
      <c r="C123" s="219"/>
      <c r="D123" s="219"/>
      <c r="E123" s="219"/>
      <c r="F123" s="219"/>
      <c r="G123" s="193"/>
      <c r="H123" s="194"/>
    </row>
    <row r="124" spans="2:12" x14ac:dyDescent="0.25">
      <c r="B124" s="225" t="s">
        <v>490</v>
      </c>
      <c r="C124" s="219"/>
      <c r="D124" s="219"/>
      <c r="E124" s="219"/>
      <c r="F124" s="219"/>
      <c r="G124" s="193" t="s">
        <v>477</v>
      </c>
      <c r="H124" s="194" t="s">
        <v>489</v>
      </c>
    </row>
    <row r="125" spans="2:12" x14ac:dyDescent="0.25">
      <c r="B125" s="225" t="s">
        <v>491</v>
      </c>
      <c r="C125" s="219"/>
      <c r="D125" s="219"/>
      <c r="E125" s="219"/>
      <c r="F125" s="219"/>
      <c r="G125" s="193" t="s">
        <v>477</v>
      </c>
      <c r="H125" s="194" t="s">
        <v>489</v>
      </c>
    </row>
    <row r="126" spans="2:12" x14ac:dyDescent="0.25">
      <c r="B126" s="225" t="s">
        <v>704</v>
      </c>
      <c r="C126" s="219"/>
      <c r="D126" s="219"/>
      <c r="E126" s="219"/>
      <c r="F126" s="219"/>
      <c r="G126" s="193" t="s">
        <v>477</v>
      </c>
      <c r="H126" s="194" t="s">
        <v>489</v>
      </c>
    </row>
    <row r="127" spans="2:12" x14ac:dyDescent="0.25">
      <c r="B127" s="225" t="s">
        <v>705</v>
      </c>
      <c r="C127" s="219"/>
      <c r="D127" s="219"/>
      <c r="E127" s="219"/>
      <c r="F127" s="219"/>
      <c r="G127" s="193" t="s">
        <v>477</v>
      </c>
      <c r="H127" s="194" t="s">
        <v>489</v>
      </c>
    </row>
    <row r="128" spans="2:12" x14ac:dyDescent="0.25">
      <c r="B128" s="95" t="s">
        <v>808</v>
      </c>
      <c r="C128" s="89"/>
      <c r="D128" s="89"/>
      <c r="E128" s="89"/>
      <c r="F128" s="89"/>
    </row>
    <row r="129" spans="2:6" x14ac:dyDescent="0.25">
      <c r="B129" s="180" t="s">
        <v>723</v>
      </c>
      <c r="C129" s="92">
        <f>SUM(C130:C132)</f>
        <v>0</v>
      </c>
      <c r="D129" s="92">
        <f t="shared" ref="D129:F129" si="5">SUM(D130:D132)</f>
        <v>0</v>
      </c>
      <c r="E129" s="92">
        <f t="shared" si="5"/>
        <v>0</v>
      </c>
      <c r="F129" s="92">
        <f t="shared" si="5"/>
        <v>0</v>
      </c>
    </row>
    <row r="130" spans="2:6" x14ac:dyDescent="0.25">
      <c r="B130" s="180" t="s">
        <v>706</v>
      </c>
      <c r="C130" s="92"/>
      <c r="D130" s="92"/>
      <c r="E130" s="92"/>
      <c r="F130" s="92"/>
    </row>
    <row r="131" spans="2:6" x14ac:dyDescent="0.25">
      <c r="B131" s="180" t="s">
        <v>707</v>
      </c>
      <c r="C131" s="92"/>
      <c r="D131" s="92"/>
      <c r="E131" s="92"/>
      <c r="F131" s="92"/>
    </row>
    <row r="132" spans="2:6" x14ac:dyDescent="0.25">
      <c r="B132" s="180" t="s">
        <v>724</v>
      </c>
      <c r="C132" s="92"/>
      <c r="D132" s="92"/>
      <c r="E132" s="92"/>
      <c r="F132" s="92"/>
    </row>
    <row r="133" spans="2:6" x14ac:dyDescent="0.25">
      <c r="B133" s="180" t="s">
        <v>785</v>
      </c>
      <c r="C133" s="92">
        <f>SUM(C134:C136)</f>
        <v>0</v>
      </c>
      <c r="D133" s="92"/>
      <c r="E133" s="92"/>
      <c r="F133" s="92"/>
    </row>
    <row r="134" spans="2:6" x14ac:dyDescent="0.25">
      <c r="B134" s="180" t="s">
        <v>725</v>
      </c>
      <c r="C134" s="92"/>
      <c r="D134" s="92"/>
      <c r="E134" s="92"/>
      <c r="F134" s="92"/>
    </row>
    <row r="135" spans="2:6" x14ac:dyDescent="0.25">
      <c r="B135" s="180" t="s">
        <v>726</v>
      </c>
      <c r="C135" s="92"/>
      <c r="D135" s="92"/>
      <c r="E135" s="92"/>
      <c r="F135" s="92"/>
    </row>
    <row r="136" spans="2:6" x14ac:dyDescent="0.25">
      <c r="B136" s="180" t="s">
        <v>727</v>
      </c>
      <c r="C136" s="92"/>
      <c r="D136" s="92"/>
      <c r="E136" s="92"/>
      <c r="F136" s="92"/>
    </row>
    <row r="137" spans="2:6" x14ac:dyDescent="0.25">
      <c r="B137" s="180" t="s">
        <v>728</v>
      </c>
      <c r="C137" s="92">
        <f>C129+C133</f>
        <v>0</v>
      </c>
      <c r="D137" s="92">
        <f t="shared" ref="D137:F137" si="6">D129+D133</f>
        <v>0</v>
      </c>
      <c r="E137" s="92">
        <f t="shared" si="6"/>
        <v>0</v>
      </c>
      <c r="F137" s="92">
        <f t="shared" si="6"/>
        <v>0</v>
      </c>
    </row>
    <row r="138" spans="2:6" x14ac:dyDescent="0.25">
      <c r="B138" s="180" t="s">
        <v>729</v>
      </c>
      <c r="C138" s="92" t="e">
        <f>C129/C137</f>
        <v>#DIV/0!</v>
      </c>
      <c r="D138" s="92" t="e">
        <f t="shared" ref="D138:F138" si="7">D129/D137</f>
        <v>#DIV/0!</v>
      </c>
      <c r="E138" s="92" t="e">
        <f t="shared" si="7"/>
        <v>#DIV/0!</v>
      </c>
      <c r="F138" s="92" t="e">
        <f t="shared" si="7"/>
        <v>#DIV/0!</v>
      </c>
    </row>
    <row r="139" spans="2:6" x14ac:dyDescent="0.25">
      <c r="B139" s="180"/>
      <c r="C139" s="92"/>
      <c r="D139" s="92"/>
      <c r="E139" s="92"/>
      <c r="F139" s="92"/>
    </row>
    <row r="140" spans="2:6" x14ac:dyDescent="0.25">
      <c r="B140" s="180" t="s">
        <v>730</v>
      </c>
      <c r="C140" s="219" t="e">
        <f>(C71+C72)/(C69+C70)</f>
        <v>#DIV/0!</v>
      </c>
      <c r="D140" s="219" t="e">
        <f>(D71+D72)/(D69+D70)</f>
        <v>#DIV/0!</v>
      </c>
      <c r="E140" s="219" t="e">
        <f>(E71+E72)/(E69+E70)</f>
        <v>#DIV/0!</v>
      </c>
      <c r="F140" s="219" t="e">
        <f>(F71+F72)/(F69+F70)</f>
        <v>#DIV/0!</v>
      </c>
    </row>
    <row r="141" spans="2:6" x14ac:dyDescent="0.25">
      <c r="B141" s="180" t="s">
        <v>732</v>
      </c>
      <c r="C141" s="222" t="e">
        <f>C137/(C69+C70)</f>
        <v>#DIV/0!</v>
      </c>
      <c r="D141" s="222" t="e">
        <f>D137/(D69+D70)</f>
        <v>#DIV/0!</v>
      </c>
      <c r="E141" s="222" t="e">
        <f>E137/(E69+E70)</f>
        <v>#DIV/0!</v>
      </c>
      <c r="F141" s="222" t="e">
        <f>F137/(F69+F70)</f>
        <v>#DIV/0!</v>
      </c>
    </row>
    <row r="142" spans="2:6" x14ac:dyDescent="0.25">
      <c r="B142" s="180" t="s">
        <v>731</v>
      </c>
      <c r="C142" s="223" t="e">
        <f>C69/C71</f>
        <v>#DIV/0!</v>
      </c>
      <c r="D142" s="223" t="e">
        <f>D69/D71</f>
        <v>#DIV/0!</v>
      </c>
      <c r="E142" s="223" t="e">
        <f>E69/E71</f>
        <v>#DIV/0!</v>
      </c>
      <c r="F142" s="223" t="e">
        <f>F69/F71</f>
        <v>#DIV/0!</v>
      </c>
    </row>
    <row r="143" spans="2:6" x14ac:dyDescent="0.25">
      <c r="B143" s="180" t="s">
        <v>786</v>
      </c>
      <c r="C143" s="224" t="e">
        <f>(C69-C47)/C71</f>
        <v>#DIV/0!</v>
      </c>
      <c r="D143" s="224" t="e">
        <f>(D69-D47)/D71</f>
        <v>#DIV/0!</v>
      </c>
      <c r="E143" s="224" t="e">
        <f>(E69-E47)/E71</f>
        <v>#DIV/0!</v>
      </c>
      <c r="F143" s="224" t="e">
        <f>(F69-F47)/F71</f>
        <v>#DIV/0!</v>
      </c>
    </row>
    <row r="144" spans="2:6" x14ac:dyDescent="0.25">
      <c r="B144" s="180" t="s">
        <v>787</v>
      </c>
      <c r="C144" s="223"/>
      <c r="D144" s="223"/>
      <c r="E144" s="223"/>
      <c r="F144" s="223"/>
    </row>
    <row r="145" spans="2:6" x14ac:dyDescent="0.25">
      <c r="B145" s="95" t="s">
        <v>809</v>
      </c>
      <c r="C145" s="89"/>
      <c r="D145" s="89"/>
      <c r="E145" s="89"/>
      <c r="F145" s="89"/>
    </row>
    <row r="146" spans="2:6" x14ac:dyDescent="0.25">
      <c r="B146" s="180" t="s">
        <v>810</v>
      </c>
      <c r="C146" s="92"/>
      <c r="D146" s="92"/>
      <c r="E146" s="92"/>
      <c r="F146" s="92"/>
    </row>
    <row r="147" spans="2:6" x14ac:dyDescent="0.25">
      <c r="B147" s="180" t="s">
        <v>811</v>
      </c>
      <c r="C147" s="92"/>
      <c r="D147" s="92"/>
      <c r="E147" s="92"/>
      <c r="F147" s="92"/>
    </row>
    <row r="150" spans="2:6" x14ac:dyDescent="0.25">
      <c r="B150" s="95" t="s">
        <v>828</v>
      </c>
      <c r="C150" s="89"/>
      <c r="D150" s="89"/>
      <c r="E150" s="89"/>
      <c r="F150" s="89"/>
    </row>
    <row r="151" spans="2:6" x14ac:dyDescent="0.25">
      <c r="B151" s="226" t="s">
        <v>829</v>
      </c>
      <c r="C151" s="92"/>
      <c r="D151" s="92"/>
      <c r="E151" s="92"/>
      <c r="F151" s="92"/>
    </row>
    <row r="152" spans="2:6" x14ac:dyDescent="0.25">
      <c r="B152" s="226" t="s">
        <v>855</v>
      </c>
      <c r="C152" s="92"/>
      <c r="D152" s="92"/>
      <c r="E152" s="92"/>
      <c r="F152" s="92"/>
    </row>
    <row r="153" spans="2:6" x14ac:dyDescent="0.25">
      <c r="B153" s="226" t="s">
        <v>856</v>
      </c>
      <c r="C153" s="92"/>
      <c r="D153" s="92"/>
      <c r="E153" s="92"/>
      <c r="F153" s="92"/>
    </row>
    <row r="154" spans="2:6" x14ac:dyDescent="0.25">
      <c r="B154" s="226"/>
      <c r="C154" s="92"/>
      <c r="D154" s="92"/>
      <c r="E154" s="92"/>
      <c r="F154" s="92"/>
    </row>
    <row r="155" spans="2:6" x14ac:dyDescent="0.25">
      <c r="B155" s="226" t="s">
        <v>830</v>
      </c>
      <c r="C155" s="92"/>
      <c r="D155" s="92"/>
      <c r="E155" s="92"/>
      <c r="F155" s="92"/>
    </row>
    <row r="156" spans="2:6" x14ac:dyDescent="0.25">
      <c r="B156" s="226" t="s">
        <v>831</v>
      </c>
      <c r="C156" s="92"/>
      <c r="D156" s="92"/>
      <c r="E156" s="92"/>
      <c r="F156" s="92"/>
    </row>
    <row r="157" spans="2:6" x14ac:dyDescent="0.25">
      <c r="B157" s="226"/>
      <c r="C157" s="92"/>
      <c r="D157" s="92"/>
      <c r="E157" s="92"/>
      <c r="F157" s="92"/>
    </row>
    <row r="158" spans="2:6" x14ac:dyDescent="0.25">
      <c r="B158" s="226" t="s">
        <v>832</v>
      </c>
      <c r="C158" s="92"/>
      <c r="D158" s="92"/>
      <c r="E158" s="92"/>
      <c r="F158" s="92"/>
    </row>
    <row r="159" spans="2:6" x14ac:dyDescent="0.25">
      <c r="B159" s="226" t="s">
        <v>833</v>
      </c>
      <c r="C159" s="92"/>
      <c r="D159" s="92"/>
      <c r="E159" s="92"/>
      <c r="F159" s="92"/>
    </row>
    <row r="160" spans="2:6" x14ac:dyDescent="0.25">
      <c r="B160" s="226" t="s">
        <v>834</v>
      </c>
      <c r="C160" s="92"/>
      <c r="D160" s="92"/>
      <c r="E160" s="92"/>
      <c r="F160" s="92"/>
    </row>
    <row r="161" spans="2:6" x14ac:dyDescent="0.25">
      <c r="B161" s="226" t="s">
        <v>835</v>
      </c>
      <c r="C161" s="92"/>
      <c r="D161" s="92"/>
      <c r="E161" s="92"/>
      <c r="F161" s="92"/>
    </row>
    <row r="162" spans="2:6" x14ac:dyDescent="0.25">
      <c r="B162" s="226"/>
      <c r="C162" s="92"/>
      <c r="D162" s="92"/>
      <c r="E162" s="92"/>
      <c r="F162" s="92"/>
    </row>
    <row r="163" spans="2:6" x14ac:dyDescent="0.25">
      <c r="B163" s="226" t="s">
        <v>836</v>
      </c>
      <c r="C163" s="92"/>
      <c r="D163" s="92"/>
      <c r="E163" s="92"/>
      <c r="F163" s="92"/>
    </row>
    <row r="164" spans="2:6" x14ac:dyDescent="0.25">
      <c r="B164" s="226" t="s">
        <v>837</v>
      </c>
      <c r="C164" s="92"/>
      <c r="D164" s="92"/>
      <c r="E164" s="92"/>
      <c r="F164" s="92"/>
    </row>
    <row r="165" spans="2:6" x14ac:dyDescent="0.25">
      <c r="B165" s="95" t="s">
        <v>838</v>
      </c>
      <c r="C165" s="89"/>
      <c r="D165" s="89"/>
      <c r="E165" s="89"/>
      <c r="F165" s="89"/>
    </row>
    <row r="166" spans="2:6" x14ac:dyDescent="0.25">
      <c r="B166" s="226" t="s">
        <v>857</v>
      </c>
      <c r="C166" s="92"/>
      <c r="D166" s="92"/>
      <c r="E166" s="92"/>
      <c r="F166" s="92"/>
    </row>
    <row r="167" spans="2:6" x14ac:dyDescent="0.25">
      <c r="B167" s="226" t="s">
        <v>858</v>
      </c>
      <c r="C167" s="92"/>
      <c r="D167" s="92"/>
      <c r="E167" s="92"/>
      <c r="F167" s="92"/>
    </row>
    <row r="168" spans="2:6" x14ac:dyDescent="0.25">
      <c r="B168" s="226" t="s">
        <v>859</v>
      </c>
      <c r="C168" s="92"/>
      <c r="D168" s="92"/>
      <c r="E168" s="92"/>
      <c r="F168" s="92"/>
    </row>
    <row r="169" spans="2:6" x14ac:dyDescent="0.25">
      <c r="B169" s="226" t="s">
        <v>860</v>
      </c>
      <c r="C169" s="92"/>
      <c r="D169" s="92"/>
      <c r="E169" s="92"/>
      <c r="F169" s="92"/>
    </row>
    <row r="170" spans="2:6" x14ac:dyDescent="0.25">
      <c r="B170" s="226"/>
      <c r="C170" s="92"/>
      <c r="D170" s="92"/>
      <c r="E170" s="92"/>
      <c r="F170" s="92"/>
    </row>
    <row r="171" spans="2:6" x14ac:dyDescent="0.25">
      <c r="B171" s="226" t="s">
        <v>839</v>
      </c>
      <c r="C171" s="92"/>
      <c r="D171" s="92"/>
      <c r="E171" s="92"/>
      <c r="F171" s="92"/>
    </row>
    <row r="172" spans="2:6" x14ac:dyDescent="0.25">
      <c r="B172" s="226" t="s">
        <v>840</v>
      </c>
      <c r="C172" s="92"/>
      <c r="D172" s="92"/>
      <c r="E172" s="92"/>
      <c r="F172" s="92"/>
    </row>
    <row r="173" spans="2:6" x14ac:dyDescent="0.25">
      <c r="B173" s="226" t="s">
        <v>841</v>
      </c>
      <c r="C173" s="92"/>
      <c r="D173" s="92"/>
      <c r="E173" s="92"/>
      <c r="F173" s="92"/>
    </row>
    <row r="174" spans="2:6" x14ac:dyDescent="0.25">
      <c r="B174" s="226" t="s">
        <v>842</v>
      </c>
      <c r="C174" s="92"/>
      <c r="D174" s="92"/>
      <c r="E174" s="92"/>
      <c r="F174" s="92"/>
    </row>
    <row r="175" spans="2:6" x14ac:dyDescent="0.25">
      <c r="B175" s="226"/>
      <c r="C175" s="92"/>
      <c r="D175" s="92"/>
      <c r="E175" s="92"/>
      <c r="F175" s="92"/>
    </row>
    <row r="176" spans="2:6" x14ac:dyDescent="0.25">
      <c r="B176" s="226" t="s">
        <v>843</v>
      </c>
      <c r="C176" s="92"/>
      <c r="D176" s="92"/>
      <c r="E176" s="92"/>
      <c r="F176" s="92"/>
    </row>
    <row r="177" spans="2:6" x14ac:dyDescent="0.25">
      <c r="B177" s="226" t="s">
        <v>844</v>
      </c>
      <c r="C177" s="92"/>
      <c r="D177" s="92"/>
      <c r="E177" s="92"/>
      <c r="F177" s="92"/>
    </row>
    <row r="178" spans="2:6" x14ac:dyDescent="0.25">
      <c r="B178" s="226"/>
      <c r="C178" s="92"/>
      <c r="D178" s="92"/>
      <c r="E178" s="92"/>
      <c r="F178" s="92"/>
    </row>
    <row r="179" spans="2:6" x14ac:dyDescent="0.25">
      <c r="B179" s="226" t="s">
        <v>845</v>
      </c>
      <c r="C179" s="92"/>
      <c r="D179" s="92"/>
      <c r="E179" s="92"/>
      <c r="F179" s="92"/>
    </row>
    <row r="180" spans="2:6" x14ac:dyDescent="0.25">
      <c r="B180" s="226"/>
      <c r="C180" s="92"/>
      <c r="D180" s="92"/>
      <c r="E180" s="92"/>
      <c r="F180" s="92"/>
    </row>
    <row r="181" spans="2:6" x14ac:dyDescent="0.25">
      <c r="B181" s="95" t="s">
        <v>846</v>
      </c>
      <c r="C181" s="89"/>
      <c r="D181" s="89"/>
      <c r="E181" s="89"/>
      <c r="F181" s="89"/>
    </row>
    <row r="182" spans="2:6" x14ac:dyDescent="0.25">
      <c r="B182" s="226" t="s">
        <v>847</v>
      </c>
      <c r="C182" s="92"/>
      <c r="D182" s="92"/>
      <c r="E182" s="92"/>
      <c r="F182" s="92"/>
    </row>
    <row r="183" spans="2:6" x14ac:dyDescent="0.25">
      <c r="B183" s="226" t="s">
        <v>848</v>
      </c>
      <c r="C183" s="92"/>
      <c r="D183" s="92"/>
      <c r="E183" s="92"/>
      <c r="F183" s="92"/>
    </row>
    <row r="184" spans="2:6" x14ac:dyDescent="0.25">
      <c r="B184" s="226" t="s">
        <v>849</v>
      </c>
      <c r="C184" s="92"/>
      <c r="D184" s="92"/>
      <c r="E184" s="92"/>
      <c r="F184" s="92"/>
    </row>
    <row r="185" spans="2:6" x14ac:dyDescent="0.25">
      <c r="B185" s="226" t="s">
        <v>850</v>
      </c>
      <c r="C185" s="92"/>
      <c r="D185" s="92"/>
      <c r="E185" s="92"/>
      <c r="F185" s="92"/>
    </row>
    <row r="186" spans="2:6" x14ac:dyDescent="0.25">
      <c r="B186" s="226" t="s">
        <v>851</v>
      </c>
      <c r="C186" s="92"/>
      <c r="D186" s="92"/>
      <c r="E186" s="92"/>
      <c r="F186" s="92"/>
    </row>
    <row r="187" spans="2:6" x14ac:dyDescent="0.25">
      <c r="B187" s="226" t="s">
        <v>852</v>
      </c>
      <c r="C187" s="92"/>
      <c r="D187" s="92"/>
      <c r="E187" s="92"/>
      <c r="F187" s="92"/>
    </row>
    <row r="188" spans="2:6" x14ac:dyDescent="0.25">
      <c r="B188" s="226"/>
      <c r="C188" s="92"/>
      <c r="D188" s="92"/>
      <c r="E188" s="92"/>
      <c r="F188" s="92"/>
    </row>
    <row r="189" spans="2:6" x14ac:dyDescent="0.25">
      <c r="B189" s="226" t="s">
        <v>853</v>
      </c>
      <c r="C189" s="92"/>
      <c r="D189" s="92"/>
      <c r="E189" s="92"/>
      <c r="F189" s="92"/>
    </row>
    <row r="190" spans="2:6" x14ac:dyDescent="0.25">
      <c r="B190" s="226" t="s">
        <v>854</v>
      </c>
      <c r="C190" s="92"/>
      <c r="D190" s="92"/>
      <c r="E190" s="92"/>
      <c r="F190" s="92"/>
    </row>
    <row r="191" spans="2:6" x14ac:dyDescent="0.25">
      <c r="B191" s="226" t="s">
        <v>849</v>
      </c>
      <c r="C191" s="92"/>
      <c r="D191" s="92"/>
      <c r="E191" s="92"/>
      <c r="F191" s="92"/>
    </row>
    <row r="192" spans="2:6" x14ac:dyDescent="0.25">
      <c r="B192" s="226" t="s">
        <v>851</v>
      </c>
      <c r="C192" s="92"/>
      <c r="D192" s="92"/>
      <c r="E192" s="92"/>
      <c r="F192" s="92"/>
    </row>
    <row r="193" spans="2:6" x14ac:dyDescent="0.25">
      <c r="B193" s="227"/>
      <c r="C193" s="92"/>
      <c r="D193" s="92"/>
      <c r="E193" s="92"/>
      <c r="F193" s="92"/>
    </row>
    <row r="194" spans="2:6" x14ac:dyDescent="0.25">
      <c r="B194" s="227" t="s">
        <v>861</v>
      </c>
      <c r="C194" s="92"/>
      <c r="D194" s="92"/>
      <c r="E194" s="92"/>
      <c r="F194" s="92"/>
    </row>
    <row r="195" spans="2:6" x14ac:dyDescent="0.25">
      <c r="B195" s="228" t="s">
        <v>866</v>
      </c>
      <c r="C195" s="89"/>
      <c r="D195" s="89"/>
      <c r="E195" s="89"/>
      <c r="F195" s="89"/>
    </row>
    <row r="196" spans="2:6" x14ac:dyDescent="0.25">
      <c r="B196" s="226" t="s">
        <v>863</v>
      </c>
      <c r="C196" s="92"/>
      <c r="D196" s="92"/>
      <c r="E196" s="92"/>
      <c r="F196" s="92"/>
    </row>
    <row r="197" spans="2:6" x14ac:dyDescent="0.25">
      <c r="B197" s="226" t="s">
        <v>864</v>
      </c>
      <c r="C197" s="92"/>
      <c r="D197" s="92"/>
      <c r="E197" s="92"/>
      <c r="F197" s="92"/>
    </row>
    <row r="198" spans="2:6" x14ac:dyDescent="0.25">
      <c r="B198" s="226" t="s">
        <v>865</v>
      </c>
      <c r="C198" s="92"/>
      <c r="D198" s="92"/>
      <c r="E198" s="92"/>
      <c r="F198" s="92"/>
    </row>
    <row r="205" spans="2:6" x14ac:dyDescent="0.25">
      <c r="B205" s="95" t="s">
        <v>862</v>
      </c>
      <c r="C205" s="89" t="s">
        <v>708</v>
      </c>
      <c r="D205" s="89" t="s">
        <v>709</v>
      </c>
    </row>
    <row r="206" spans="2:6" x14ac:dyDescent="0.25">
      <c r="B206" s="180" t="s">
        <v>819</v>
      </c>
      <c r="C206" s="209">
        <v>100</v>
      </c>
      <c r="D206" s="92"/>
    </row>
    <row r="207" spans="2:6" x14ac:dyDescent="0.25">
      <c r="B207" s="180"/>
      <c r="C207" s="209"/>
      <c r="D207" s="92"/>
    </row>
    <row r="208" spans="2:6" x14ac:dyDescent="0.25">
      <c r="B208" s="180" t="s">
        <v>820</v>
      </c>
      <c r="C208" s="209">
        <v>160</v>
      </c>
      <c r="D208" s="92"/>
    </row>
    <row r="209" spans="2:4" x14ac:dyDescent="0.25">
      <c r="B209" s="180" t="s">
        <v>821</v>
      </c>
      <c r="C209" s="209">
        <v>-200</v>
      </c>
      <c r="D209" s="92"/>
    </row>
    <row r="210" spans="2:4" x14ac:dyDescent="0.25">
      <c r="B210" s="180" t="s">
        <v>822</v>
      </c>
      <c r="C210" s="209">
        <v>100</v>
      </c>
      <c r="D210" s="92"/>
    </row>
    <row r="211" spans="2:4" x14ac:dyDescent="0.25">
      <c r="B211" s="180" t="s">
        <v>823</v>
      </c>
      <c r="C211" s="209">
        <f>SUM(C208:C210)</f>
        <v>60</v>
      </c>
      <c r="D211" s="92"/>
    </row>
    <row r="212" spans="2:4" x14ac:dyDescent="0.25">
      <c r="B212" s="180"/>
      <c r="C212" s="209"/>
      <c r="D212" s="92"/>
    </row>
    <row r="213" spans="2:4" x14ac:dyDescent="0.25">
      <c r="B213" s="180" t="s">
        <v>824</v>
      </c>
      <c r="C213" s="209">
        <v>100</v>
      </c>
      <c r="D213" s="92"/>
    </row>
    <row r="214" spans="2:4" x14ac:dyDescent="0.25">
      <c r="B214" s="180" t="s">
        <v>825</v>
      </c>
      <c r="C214" s="209">
        <v>20</v>
      </c>
      <c r="D214" s="92"/>
    </row>
    <row r="215" spans="2:4" x14ac:dyDescent="0.25">
      <c r="B215" s="180" t="s">
        <v>826</v>
      </c>
      <c r="C215" s="209">
        <v>30</v>
      </c>
      <c r="D215" s="92"/>
    </row>
    <row r="216" spans="2:4" x14ac:dyDescent="0.25">
      <c r="B216" s="180"/>
      <c r="C216" s="209"/>
      <c r="D216" s="92"/>
    </row>
    <row r="217" spans="2:4" x14ac:dyDescent="0.25">
      <c r="B217" s="180" t="s">
        <v>827</v>
      </c>
      <c r="C217" s="209">
        <f>C211-C213+C214+C215</f>
        <v>10</v>
      </c>
      <c r="D217" s="92"/>
    </row>
    <row r="218" spans="2:4" x14ac:dyDescent="0.25">
      <c r="B218" s="180"/>
      <c r="C218" s="209"/>
      <c r="D218" s="92"/>
    </row>
  </sheetData>
  <mergeCells count="1">
    <mergeCell ref="B2:F2"/>
  </mergeCells>
  <phoneticPr fontId="19" type="noConversion"/>
  <pageMargins left="0.7" right="0.7" top="0.75" bottom="0.75" header="0.3" footer="0.3"/>
  <pageSetup paperSize="9"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1.1 核心员工家谱</vt:lpstr>
      <vt:lpstr>1.2 核心员工分析 </vt:lpstr>
      <vt:lpstr>1.3 核心员工访谈问卷</vt:lpstr>
      <vt:lpstr>1.4 员工波动分析</vt:lpstr>
      <vt:lpstr>2.1 发展史</vt:lpstr>
      <vt:lpstr>2.2 业务蓝图</vt:lpstr>
      <vt:lpstr>2.3 供应商、客户、竞争对手访谈问卷</vt:lpstr>
      <vt:lpstr>3. 互联网企业用户行为分析</vt:lpstr>
      <vt:lpstr>4.1 财务报表指标分析 </vt:lpstr>
      <vt:lpstr>4.2 财务运营指标分析</vt:lpstr>
      <vt:lpstr>4.3 销售 - 合同检查</vt:lpstr>
      <vt:lpstr>4.4 销售 (毛利&amp;账龄)</vt:lpstr>
      <vt:lpstr>4.5 采购</vt:lpstr>
      <vt:lpstr>4.6 贷款&amp;抵押 </vt:lpstr>
      <vt:lpstr>5.1 公司战略检查清单</vt:lpstr>
      <vt:lpstr>5.2 创新、执行力检查清单 </vt:lpstr>
      <vt:lpstr>5.3 组织能力检查清单  </vt:lpstr>
      <vt:lpstr>6.1  现金流贴现模型 </vt:lpstr>
      <vt:lpstr>6.2 IRR计算</vt:lpstr>
      <vt:lpstr>7. 1 股权调整</vt:lpstr>
      <vt:lpstr>7.2 股权比例计算</vt:lpstr>
      <vt:lpstr>7. 3 增值扩股计算方法</vt:lpstr>
      <vt:lpstr>7.4 若干公式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EricY TSUI</dc:creator>
  <cp:lastModifiedBy>Min</cp:lastModifiedBy>
  <dcterms:created xsi:type="dcterms:W3CDTF">2016-10-21T03:08:07Z</dcterms:created>
  <dcterms:modified xsi:type="dcterms:W3CDTF">2020-08-07T00:17:07Z</dcterms:modified>
</cp:coreProperties>
</file>