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628"/>
  <workbookPr/>
  <mc:AlternateContent xmlns:mc="http://schemas.openxmlformats.org/markup-compatibility/2006">
    <mc:Choice Requires="x15">
      <x15ac:absPath xmlns:x15ac="http://schemas.microsoft.com/office/spreadsheetml/2010/11/ac" url="https://fhaachen-my.sharepoint.com/personal/paul_krueger_alumni_fh-aachen_de/Documents/Uni/Master/EWI Sharepoint/Flexible Energiesysteme/Excel Files/"/>
    </mc:Choice>
  </mc:AlternateContent>
  <xr:revisionPtr revIDLastSave="81" documentId="11_12E2C43AA0C6352A0943E6E46058EB1879ACFCCE" xr6:coauthVersionLast="46" xr6:coauthVersionMax="46" xr10:uidLastSave="{F87B5ACB-26B5-43B8-B097-F908AC008222}"/>
  <bookViews>
    <workbookView xWindow="-120" yWindow="-120" windowWidth="38640" windowHeight="21240" xr2:uid="{00000000-000D-0000-FFFF-FFFF00000000}"/>
  </bookViews>
  <sheets>
    <sheet name="Delta" sheetId="2" r:id="rId1"/>
  </sheets>
  <definedNames>
    <definedName name="CF">Delta!$K$24:$K$123</definedName>
    <definedName name="CFdown">Delta!$M$24:$M$123</definedName>
    <definedName name="CFup">Delta!$L$24:$L$123</definedName>
    <definedName name="dx">Delta!$M$16</definedName>
    <definedName name="K">Delta!$J$16</definedName>
    <definedName name="niveau">Delta!$E$16</definedName>
    <definedName name="phi">Delta!$E$14</definedName>
    <definedName name="Preis_T">Delta!$D$24:$D$123</definedName>
    <definedName name="Preis_Tm1">Delta!$E$15</definedName>
    <definedName name="Preisdown">Delta!$F$24:$F$123</definedName>
    <definedName name="Preisup">Delta!$E$24:$E$123</definedName>
    <definedName name="sigma">Delta!$E$13</definedName>
    <definedName name="Zufall">Delta!$A$24:$A$123</definedName>
  </definedNames>
  <calcPr calcId="191029"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V21" i="2" l="1"/>
  <c r="V22" i="2" l="1"/>
  <c r="W22" i="2" s="1"/>
  <c r="Y22" i="2" s="1"/>
  <c r="V20" i="2"/>
  <c r="V19" i="2" s="1"/>
  <c r="W21" i="2"/>
  <c r="X21" i="2" s="1"/>
  <c r="W20" i="2"/>
  <c r="X20" i="2" s="1"/>
  <c r="V23" i="2" l="1"/>
  <c r="V24" i="2" s="1"/>
  <c r="V18" i="2"/>
  <c r="W19" i="2"/>
  <c r="X19" i="2" s="1"/>
  <c r="W23" i="2" l="1"/>
  <c r="Y23" i="2" s="1"/>
  <c r="V17" i="2"/>
  <c r="W18" i="2"/>
  <c r="X18" i="2" s="1"/>
  <c r="V25" i="2"/>
  <c r="W24" i="2"/>
  <c r="Y24" i="2" s="1"/>
  <c r="V16" i="2" l="1"/>
  <c r="W17" i="2"/>
  <c r="X17" i="2" s="1"/>
  <c r="V26" i="2"/>
  <c r="W26" i="2" s="1"/>
  <c r="Y26" i="2" s="1"/>
  <c r="W25" i="2"/>
  <c r="Y25" i="2" s="1"/>
  <c r="V15" i="2" l="1"/>
  <c r="W15" i="2" s="1"/>
  <c r="X15" i="2" s="1"/>
  <c r="W16" i="2"/>
  <c r="X16" i="2" s="1"/>
  <c r="D123" i="2" l="1"/>
  <c r="E123" i="2" s="1"/>
  <c r="D122" i="2"/>
  <c r="E122" i="2" s="1"/>
  <c r="D121" i="2"/>
  <c r="E121" i="2" s="1"/>
  <c r="D120" i="2"/>
  <c r="E120" i="2" s="1"/>
  <c r="D119" i="2"/>
  <c r="E119" i="2" s="1"/>
  <c r="D118" i="2"/>
  <c r="E118" i="2" s="1"/>
  <c r="D117" i="2"/>
  <c r="E117" i="2" s="1"/>
  <c r="D116" i="2"/>
  <c r="E116" i="2" s="1"/>
  <c r="D115" i="2"/>
  <c r="E115" i="2" s="1"/>
  <c r="D114" i="2"/>
  <c r="E114" i="2" s="1"/>
  <c r="D113" i="2"/>
  <c r="E113" i="2" s="1"/>
  <c r="D112" i="2"/>
  <c r="E112" i="2" s="1"/>
  <c r="D111" i="2"/>
  <c r="E111" i="2" s="1"/>
  <c r="D110" i="2"/>
  <c r="E110" i="2" s="1"/>
  <c r="D109" i="2"/>
  <c r="E109" i="2" s="1"/>
  <c r="D108" i="2"/>
  <c r="E108" i="2" s="1"/>
  <c r="D107" i="2"/>
  <c r="E107" i="2" s="1"/>
  <c r="D106" i="2"/>
  <c r="E106" i="2" s="1"/>
  <c r="D105" i="2"/>
  <c r="E105" i="2" s="1"/>
  <c r="D104" i="2"/>
  <c r="E104" i="2" s="1"/>
  <c r="D103" i="2"/>
  <c r="E103" i="2" s="1"/>
  <c r="D102" i="2"/>
  <c r="E102" i="2" s="1"/>
  <c r="D101" i="2"/>
  <c r="E101" i="2" s="1"/>
  <c r="D100" i="2"/>
  <c r="E100" i="2" s="1"/>
  <c r="D99" i="2"/>
  <c r="E99" i="2" s="1"/>
  <c r="D98" i="2"/>
  <c r="E98" i="2" s="1"/>
  <c r="D97" i="2"/>
  <c r="E97" i="2" s="1"/>
  <c r="D96" i="2"/>
  <c r="E96" i="2" s="1"/>
  <c r="D95" i="2"/>
  <c r="E95" i="2" s="1"/>
  <c r="D94" i="2"/>
  <c r="E94" i="2" s="1"/>
  <c r="D93" i="2"/>
  <c r="E93" i="2" s="1"/>
  <c r="D92" i="2"/>
  <c r="E92" i="2" s="1"/>
  <c r="D91" i="2"/>
  <c r="E91" i="2" s="1"/>
  <c r="D90" i="2"/>
  <c r="E90" i="2" s="1"/>
  <c r="D89" i="2"/>
  <c r="E89" i="2" s="1"/>
  <c r="D88" i="2"/>
  <c r="E88" i="2" s="1"/>
  <c r="D87" i="2"/>
  <c r="E87" i="2" s="1"/>
  <c r="D86" i="2"/>
  <c r="E86" i="2" s="1"/>
  <c r="D85" i="2"/>
  <c r="E85" i="2" s="1"/>
  <c r="D84" i="2"/>
  <c r="E84" i="2" s="1"/>
  <c r="D83" i="2"/>
  <c r="E83" i="2" s="1"/>
  <c r="D82" i="2"/>
  <c r="E82" i="2" s="1"/>
  <c r="D81" i="2"/>
  <c r="E81" i="2" s="1"/>
  <c r="D80" i="2"/>
  <c r="E80" i="2" s="1"/>
  <c r="D79" i="2"/>
  <c r="E79" i="2" s="1"/>
  <c r="D78" i="2"/>
  <c r="E78" i="2" s="1"/>
  <c r="D77" i="2"/>
  <c r="E77" i="2" s="1"/>
  <c r="D76" i="2"/>
  <c r="E76" i="2" s="1"/>
  <c r="D75" i="2"/>
  <c r="E75" i="2" s="1"/>
  <c r="D74" i="2"/>
  <c r="E74" i="2" s="1"/>
  <c r="D73" i="2"/>
  <c r="E73" i="2" s="1"/>
  <c r="D72" i="2"/>
  <c r="E72" i="2" s="1"/>
  <c r="D71" i="2"/>
  <c r="E71" i="2" s="1"/>
  <c r="D70" i="2"/>
  <c r="E70" i="2" s="1"/>
  <c r="D69" i="2"/>
  <c r="E69" i="2" s="1"/>
  <c r="D68" i="2"/>
  <c r="E68" i="2" s="1"/>
  <c r="D67" i="2"/>
  <c r="E67" i="2" s="1"/>
  <c r="D66" i="2"/>
  <c r="E66" i="2" s="1"/>
  <c r="D65" i="2"/>
  <c r="E65" i="2" s="1"/>
  <c r="D64" i="2"/>
  <c r="E64" i="2" s="1"/>
  <c r="D63" i="2"/>
  <c r="E63" i="2" s="1"/>
  <c r="D62" i="2"/>
  <c r="E62" i="2" s="1"/>
  <c r="D61" i="2"/>
  <c r="E61" i="2" s="1"/>
  <c r="D60" i="2"/>
  <c r="E60" i="2" s="1"/>
  <c r="D59" i="2"/>
  <c r="E59" i="2" s="1"/>
  <c r="D58" i="2"/>
  <c r="E58" i="2" s="1"/>
  <c r="D57" i="2"/>
  <c r="E57" i="2" s="1"/>
  <c r="D56" i="2"/>
  <c r="E56" i="2" s="1"/>
  <c r="D55" i="2"/>
  <c r="E55" i="2" s="1"/>
  <c r="D54" i="2"/>
  <c r="E54" i="2" s="1"/>
  <c r="D53" i="2"/>
  <c r="E53" i="2" s="1"/>
  <c r="D52" i="2"/>
  <c r="E52" i="2" s="1"/>
  <c r="D51" i="2"/>
  <c r="E51" i="2" s="1"/>
  <c r="D50" i="2"/>
  <c r="E50" i="2" s="1"/>
  <c r="D49" i="2"/>
  <c r="E49" i="2" s="1"/>
  <c r="D48" i="2"/>
  <c r="E48" i="2" s="1"/>
  <c r="D47" i="2"/>
  <c r="E47" i="2" s="1"/>
  <c r="D46" i="2"/>
  <c r="E46" i="2" s="1"/>
  <c r="D45" i="2"/>
  <c r="E45" i="2" s="1"/>
  <c r="D44" i="2"/>
  <c r="E44" i="2" s="1"/>
  <c r="D43" i="2"/>
  <c r="E43" i="2" s="1"/>
  <c r="D42" i="2"/>
  <c r="E42" i="2" s="1"/>
  <c r="D41" i="2"/>
  <c r="E41" i="2" s="1"/>
  <c r="D40" i="2"/>
  <c r="E40" i="2" s="1"/>
  <c r="D39" i="2"/>
  <c r="E39" i="2" s="1"/>
  <c r="D38" i="2"/>
  <c r="E38" i="2" s="1"/>
  <c r="D37" i="2"/>
  <c r="E37" i="2" s="1"/>
  <c r="D36" i="2"/>
  <c r="E36" i="2" s="1"/>
  <c r="D35" i="2"/>
  <c r="E35" i="2" s="1"/>
  <c r="D34" i="2"/>
  <c r="E34" i="2" s="1"/>
  <c r="D33" i="2"/>
  <c r="E33" i="2" s="1"/>
  <c r="D32" i="2"/>
  <c r="E32" i="2" s="1"/>
  <c r="D31" i="2"/>
  <c r="E31" i="2" s="1"/>
  <c r="D30" i="2"/>
  <c r="E30" i="2" s="1"/>
  <c r="D29" i="2"/>
  <c r="E29" i="2" s="1"/>
  <c r="D28" i="2"/>
  <c r="E28" i="2" s="1"/>
  <c r="D27" i="2"/>
  <c r="E27" i="2" s="1"/>
  <c r="D26" i="2"/>
  <c r="E26" i="2" s="1"/>
  <c r="D25" i="2"/>
  <c r="E25" i="2" s="1"/>
  <c r="D24" i="2"/>
  <c r="E24" i="2" l="1"/>
  <c r="E20" i="2" s="1"/>
  <c r="D22" i="2"/>
  <c r="K77" i="2"/>
  <c r="L77" i="2"/>
  <c r="F77" i="2"/>
  <c r="M77" i="2" s="1"/>
  <c r="K28" i="2"/>
  <c r="L28" i="2"/>
  <c r="F28" i="2"/>
  <c r="M28" i="2" s="1"/>
  <c r="K36" i="2"/>
  <c r="L36" i="2"/>
  <c r="F36" i="2"/>
  <c r="M36" i="2" s="1"/>
  <c r="K44" i="2"/>
  <c r="L44" i="2"/>
  <c r="F44" i="2"/>
  <c r="M44" i="2" s="1"/>
  <c r="K52" i="2"/>
  <c r="L52" i="2"/>
  <c r="F52" i="2"/>
  <c r="M52" i="2" s="1"/>
  <c r="K60" i="2"/>
  <c r="L60" i="2"/>
  <c r="F60" i="2"/>
  <c r="M60" i="2" s="1"/>
  <c r="K68" i="2"/>
  <c r="L68" i="2"/>
  <c r="F68" i="2"/>
  <c r="M68" i="2" s="1"/>
  <c r="K76" i="2"/>
  <c r="L76" i="2"/>
  <c r="F76" i="2"/>
  <c r="M76" i="2" s="1"/>
  <c r="K84" i="2"/>
  <c r="L84" i="2"/>
  <c r="F84" i="2"/>
  <c r="M84" i="2" s="1"/>
  <c r="K92" i="2"/>
  <c r="L92" i="2"/>
  <c r="F92" i="2"/>
  <c r="M92" i="2" s="1"/>
  <c r="K100" i="2"/>
  <c r="L100" i="2"/>
  <c r="F100" i="2"/>
  <c r="M100" i="2" s="1"/>
  <c r="K108" i="2"/>
  <c r="L108" i="2"/>
  <c r="F108" i="2"/>
  <c r="M108" i="2" s="1"/>
  <c r="K116" i="2"/>
  <c r="L116" i="2"/>
  <c r="F116" i="2"/>
  <c r="M116" i="2" s="1"/>
  <c r="K53" i="2"/>
  <c r="L53" i="2"/>
  <c r="F53" i="2"/>
  <c r="M53" i="2" s="1"/>
  <c r="K101" i="2"/>
  <c r="L101" i="2"/>
  <c r="F101" i="2"/>
  <c r="M101" i="2" s="1"/>
  <c r="K30" i="2"/>
  <c r="L30" i="2"/>
  <c r="F30" i="2"/>
  <c r="M30" i="2" s="1"/>
  <c r="K38" i="2"/>
  <c r="L38" i="2"/>
  <c r="F38" i="2"/>
  <c r="M38" i="2" s="1"/>
  <c r="K46" i="2"/>
  <c r="L46" i="2"/>
  <c r="F46" i="2"/>
  <c r="M46" i="2" s="1"/>
  <c r="K54" i="2"/>
  <c r="L54" i="2"/>
  <c r="F54" i="2"/>
  <c r="M54" i="2" s="1"/>
  <c r="K62" i="2"/>
  <c r="L62" i="2"/>
  <c r="F62" i="2"/>
  <c r="M62" i="2" s="1"/>
  <c r="K70" i="2"/>
  <c r="L70" i="2"/>
  <c r="F70" i="2"/>
  <c r="M70" i="2" s="1"/>
  <c r="K78" i="2"/>
  <c r="L78" i="2"/>
  <c r="F78" i="2"/>
  <c r="M78" i="2" s="1"/>
  <c r="K86" i="2"/>
  <c r="L86" i="2"/>
  <c r="F86" i="2"/>
  <c r="M86" i="2" s="1"/>
  <c r="K94" i="2"/>
  <c r="L94" i="2"/>
  <c r="F94" i="2"/>
  <c r="M94" i="2" s="1"/>
  <c r="K102" i="2"/>
  <c r="L102" i="2"/>
  <c r="F102" i="2"/>
  <c r="M102" i="2" s="1"/>
  <c r="K110" i="2"/>
  <c r="L110" i="2"/>
  <c r="F110" i="2"/>
  <c r="M110" i="2" s="1"/>
  <c r="K118" i="2"/>
  <c r="L118" i="2"/>
  <c r="F118" i="2"/>
  <c r="M118" i="2" s="1"/>
  <c r="K29" i="2"/>
  <c r="L29" i="2"/>
  <c r="F29" i="2"/>
  <c r="M29" i="2" s="1"/>
  <c r="K85" i="2"/>
  <c r="L85" i="2"/>
  <c r="F85" i="2"/>
  <c r="M85" i="2" s="1"/>
  <c r="K31" i="2"/>
  <c r="L31" i="2"/>
  <c r="F31" i="2"/>
  <c r="M31" i="2" s="1"/>
  <c r="K39" i="2"/>
  <c r="F39" i="2"/>
  <c r="M39" i="2" s="1"/>
  <c r="L39" i="2"/>
  <c r="K47" i="2"/>
  <c r="L47" i="2"/>
  <c r="F47" i="2"/>
  <c r="M47" i="2" s="1"/>
  <c r="K55" i="2"/>
  <c r="F55" i="2"/>
  <c r="M55" i="2" s="1"/>
  <c r="L55" i="2"/>
  <c r="K63" i="2"/>
  <c r="L63" i="2"/>
  <c r="F63" i="2"/>
  <c r="M63" i="2" s="1"/>
  <c r="K71" i="2"/>
  <c r="L71" i="2"/>
  <c r="F71" i="2"/>
  <c r="M71" i="2" s="1"/>
  <c r="K79" i="2"/>
  <c r="L79" i="2"/>
  <c r="F79" i="2"/>
  <c r="M79" i="2" s="1"/>
  <c r="K87" i="2"/>
  <c r="L87" i="2"/>
  <c r="F87" i="2"/>
  <c r="M87" i="2" s="1"/>
  <c r="K95" i="2"/>
  <c r="L95" i="2"/>
  <c r="F95" i="2"/>
  <c r="M95" i="2" s="1"/>
  <c r="K103" i="2"/>
  <c r="L103" i="2"/>
  <c r="F103" i="2"/>
  <c r="M103" i="2" s="1"/>
  <c r="K111" i="2"/>
  <c r="F111" i="2"/>
  <c r="M111" i="2" s="1"/>
  <c r="L111" i="2"/>
  <c r="K119" i="2"/>
  <c r="L119" i="2"/>
  <c r="F119" i="2"/>
  <c r="M119" i="2" s="1"/>
  <c r="K37" i="2"/>
  <c r="L37" i="2"/>
  <c r="F37" i="2"/>
  <c r="M37" i="2" s="1"/>
  <c r="K93" i="2"/>
  <c r="L93" i="2"/>
  <c r="F93" i="2"/>
  <c r="M93" i="2" s="1"/>
  <c r="K32" i="2"/>
  <c r="F32" i="2"/>
  <c r="M32" i="2" s="1"/>
  <c r="L32" i="2"/>
  <c r="K40" i="2"/>
  <c r="F40" i="2"/>
  <c r="M40" i="2" s="1"/>
  <c r="L40" i="2"/>
  <c r="K48" i="2"/>
  <c r="F48" i="2"/>
  <c r="M48" i="2" s="1"/>
  <c r="L48" i="2"/>
  <c r="K56" i="2"/>
  <c r="F56" i="2"/>
  <c r="M56" i="2" s="1"/>
  <c r="L56" i="2"/>
  <c r="K64" i="2"/>
  <c r="F64" i="2"/>
  <c r="M64" i="2" s="1"/>
  <c r="L64" i="2"/>
  <c r="K72" i="2"/>
  <c r="F72" i="2"/>
  <c r="M72" i="2" s="1"/>
  <c r="L72" i="2"/>
  <c r="K80" i="2"/>
  <c r="F80" i="2"/>
  <c r="M80" i="2" s="1"/>
  <c r="L80" i="2"/>
  <c r="K88" i="2"/>
  <c r="F88" i="2"/>
  <c r="M88" i="2" s="1"/>
  <c r="L88" i="2"/>
  <c r="K96" i="2"/>
  <c r="F96" i="2"/>
  <c r="M96" i="2" s="1"/>
  <c r="L96" i="2"/>
  <c r="K104" i="2"/>
  <c r="F104" i="2"/>
  <c r="M104" i="2" s="1"/>
  <c r="L104" i="2"/>
  <c r="K112" i="2"/>
  <c r="F112" i="2"/>
  <c r="M112" i="2" s="1"/>
  <c r="L112" i="2"/>
  <c r="K120" i="2"/>
  <c r="F120" i="2"/>
  <c r="M120" i="2" s="1"/>
  <c r="L120" i="2"/>
  <c r="K69" i="2"/>
  <c r="L69" i="2"/>
  <c r="F69" i="2"/>
  <c r="M69" i="2" s="1"/>
  <c r="K24" i="2"/>
  <c r="F24" i="2"/>
  <c r="K25" i="2"/>
  <c r="F25" i="2"/>
  <c r="M25" i="2" s="1"/>
  <c r="L25" i="2"/>
  <c r="K33" i="2"/>
  <c r="F33" i="2"/>
  <c r="M33" i="2" s="1"/>
  <c r="L33" i="2"/>
  <c r="K41" i="2"/>
  <c r="L41" i="2"/>
  <c r="F41" i="2"/>
  <c r="M41" i="2" s="1"/>
  <c r="K49" i="2"/>
  <c r="F49" i="2"/>
  <c r="M49" i="2" s="1"/>
  <c r="L49" i="2"/>
  <c r="K57" i="2"/>
  <c r="F57" i="2"/>
  <c r="M57" i="2" s="1"/>
  <c r="L57" i="2"/>
  <c r="K65" i="2"/>
  <c r="F65" i="2"/>
  <c r="M65" i="2" s="1"/>
  <c r="L65" i="2"/>
  <c r="K73" i="2"/>
  <c r="F73" i="2"/>
  <c r="M73" i="2" s="1"/>
  <c r="L73" i="2"/>
  <c r="K81" i="2"/>
  <c r="L81" i="2"/>
  <c r="F81" i="2"/>
  <c r="M81" i="2" s="1"/>
  <c r="K89" i="2"/>
  <c r="F89" i="2"/>
  <c r="M89" i="2" s="1"/>
  <c r="L89" i="2"/>
  <c r="K97" i="2"/>
  <c r="F97" i="2"/>
  <c r="M97" i="2" s="1"/>
  <c r="L97" i="2"/>
  <c r="K105" i="2"/>
  <c r="F105" i="2"/>
  <c r="M105" i="2" s="1"/>
  <c r="L105" i="2"/>
  <c r="K113" i="2"/>
  <c r="F113" i="2"/>
  <c r="M113" i="2" s="1"/>
  <c r="L113" i="2"/>
  <c r="K121" i="2"/>
  <c r="F121" i="2"/>
  <c r="M121" i="2" s="1"/>
  <c r="L121" i="2"/>
  <c r="K61" i="2"/>
  <c r="L61" i="2"/>
  <c r="F61" i="2"/>
  <c r="M61" i="2" s="1"/>
  <c r="K117" i="2"/>
  <c r="L117" i="2"/>
  <c r="F117" i="2"/>
  <c r="M117" i="2" s="1"/>
  <c r="K26" i="2"/>
  <c r="F26" i="2"/>
  <c r="M26" i="2" s="1"/>
  <c r="L26" i="2"/>
  <c r="K34" i="2"/>
  <c r="F34" i="2"/>
  <c r="M34" i="2" s="1"/>
  <c r="L34" i="2"/>
  <c r="K42" i="2"/>
  <c r="F42" i="2"/>
  <c r="M42" i="2" s="1"/>
  <c r="L42" i="2"/>
  <c r="K50" i="2"/>
  <c r="F50" i="2"/>
  <c r="M50" i="2" s="1"/>
  <c r="L50" i="2"/>
  <c r="K58" i="2"/>
  <c r="F58" i="2"/>
  <c r="M58" i="2" s="1"/>
  <c r="L58" i="2"/>
  <c r="K66" i="2"/>
  <c r="L66" i="2"/>
  <c r="F66" i="2"/>
  <c r="M66" i="2" s="1"/>
  <c r="K74" i="2"/>
  <c r="L74" i="2"/>
  <c r="F74" i="2"/>
  <c r="M74" i="2" s="1"/>
  <c r="K82" i="2"/>
  <c r="F82" i="2"/>
  <c r="M82" i="2" s="1"/>
  <c r="L82" i="2"/>
  <c r="K90" i="2"/>
  <c r="F90" i="2"/>
  <c r="M90" i="2" s="1"/>
  <c r="L90" i="2"/>
  <c r="K98" i="2"/>
  <c r="L98" i="2"/>
  <c r="F98" i="2"/>
  <c r="M98" i="2" s="1"/>
  <c r="K106" i="2"/>
  <c r="F106" i="2"/>
  <c r="M106" i="2" s="1"/>
  <c r="L106" i="2"/>
  <c r="K114" i="2"/>
  <c r="F114" i="2"/>
  <c r="M114" i="2" s="1"/>
  <c r="L114" i="2"/>
  <c r="K122" i="2"/>
  <c r="F122" i="2"/>
  <c r="M122" i="2" s="1"/>
  <c r="L122" i="2"/>
  <c r="K45" i="2"/>
  <c r="L45" i="2"/>
  <c r="F45" i="2"/>
  <c r="M45" i="2" s="1"/>
  <c r="K109" i="2"/>
  <c r="L109" i="2"/>
  <c r="F109" i="2"/>
  <c r="M109" i="2" s="1"/>
  <c r="K27" i="2"/>
  <c r="F27" i="2"/>
  <c r="M27" i="2" s="1"/>
  <c r="L27" i="2"/>
  <c r="K35" i="2"/>
  <c r="F35" i="2"/>
  <c r="M35" i="2" s="1"/>
  <c r="L35" i="2"/>
  <c r="K43" i="2"/>
  <c r="L43" i="2"/>
  <c r="F43" i="2"/>
  <c r="M43" i="2" s="1"/>
  <c r="K51" i="2"/>
  <c r="F51" i="2"/>
  <c r="M51" i="2" s="1"/>
  <c r="L51" i="2"/>
  <c r="K59" i="2"/>
  <c r="F59" i="2"/>
  <c r="M59" i="2" s="1"/>
  <c r="L59" i="2"/>
  <c r="K67" i="2"/>
  <c r="L67" i="2"/>
  <c r="F67" i="2"/>
  <c r="M67" i="2" s="1"/>
  <c r="K75" i="2"/>
  <c r="L75" i="2"/>
  <c r="F75" i="2"/>
  <c r="M75" i="2" s="1"/>
  <c r="K83" i="2"/>
  <c r="F83" i="2"/>
  <c r="M83" i="2" s="1"/>
  <c r="L83" i="2"/>
  <c r="K91" i="2"/>
  <c r="F91" i="2"/>
  <c r="M91" i="2" s="1"/>
  <c r="L91" i="2"/>
  <c r="K99" i="2"/>
  <c r="L99" i="2"/>
  <c r="F99" i="2"/>
  <c r="M99" i="2" s="1"/>
  <c r="K107" i="2"/>
  <c r="F107" i="2"/>
  <c r="M107" i="2" s="1"/>
  <c r="L107" i="2"/>
  <c r="K115" i="2"/>
  <c r="L115" i="2"/>
  <c r="F115" i="2"/>
  <c r="M115" i="2" s="1"/>
  <c r="K123" i="2"/>
  <c r="F123" i="2"/>
  <c r="M123" i="2" s="1"/>
  <c r="L123" i="2"/>
  <c r="D20" i="2"/>
  <c r="D21" i="2"/>
  <c r="R11" i="2"/>
  <c r="E22" i="2" l="1"/>
  <c r="E21" i="2"/>
  <c r="K22" i="2"/>
  <c r="R10" i="2" s="1"/>
  <c r="R12" i="2" s="1"/>
  <c r="F21" i="2"/>
  <c r="F20" i="2"/>
  <c r="F22" i="2"/>
  <c r="T11" i="2" s="1"/>
  <c r="M24" i="2"/>
  <c r="L24" i="2"/>
  <c r="S11" i="2"/>
  <c r="K21" i="2"/>
  <c r="K20" i="2"/>
  <c r="L20" i="2" l="1"/>
  <c r="L22" i="2"/>
  <c r="S10" i="2" s="1"/>
  <c r="L21" i="2"/>
  <c r="M22" i="2"/>
  <c r="T10" i="2" s="1"/>
  <c r="T12" i="2" s="1"/>
  <c r="M21" i="2"/>
  <c r="M20" i="2"/>
  <c r="U10" i="2" l="1"/>
  <c r="S12"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Windows-Benutzer</author>
  </authors>
  <commentList>
    <comment ref="U9" authorId="0" shapeId="0" xr:uid="{F495A867-85BD-4DCC-A9AB-CE30BED15F5C}">
      <text>
        <r>
          <rPr>
            <b/>
            <sz val="9"/>
            <color indexed="81"/>
            <rFont val="Segoe UI"/>
            <family val="2"/>
          </rPr>
          <t xml:space="preserve">Delta = 0
=&gt; Betrieb des Kraftwerks in T unwahrscheinlich
Delta = 1
=&gt; Betrieb des Kraftwerks in T wahrscheinlich
</t>
        </r>
      </text>
    </comment>
    <comment ref="C13" authorId="0" shapeId="0" xr:uid="{5533ED24-07F3-4A73-8CA2-F1904FB09EA1}">
      <text>
        <r>
          <rPr>
            <b/>
            <sz val="9"/>
            <color indexed="81"/>
            <rFont val="Segoe UI"/>
            <family val="2"/>
          </rPr>
          <t>Volatilität
Je größer die Volatilität/Streuung desto mehr nährt sich das delta der 0.5 an</t>
        </r>
      </text>
    </comment>
    <comment ref="C14" authorId="0" shapeId="0" xr:uid="{1ACD3C60-8B30-4D75-8F4C-B0D826E4C401}">
      <text>
        <r>
          <rPr>
            <b/>
            <sz val="9"/>
            <color indexed="81"/>
            <rFont val="Segoe UI"/>
            <family val="2"/>
          </rPr>
          <t>Einfluss des vorherigen Werts T-1 auf neuen Wert T
1=Vorheriger Wert fließt komplett ein
0=Vorheriger Wert hat keinen Einfluss. Nur Langfristniveau entscheidend</t>
        </r>
      </text>
    </comment>
    <comment ref="I16" authorId="0" shapeId="0" xr:uid="{837BE7D7-4423-42A1-90CB-1AB57A41E55E}">
      <text>
        <r>
          <rPr>
            <b/>
            <sz val="9"/>
            <color indexed="81"/>
            <rFont val="Segoe UI"/>
            <family val="2"/>
          </rPr>
          <t xml:space="preserve">Kosten (Brennstoff)
</t>
        </r>
      </text>
    </comment>
    <comment ref="L16" authorId="0" shapeId="0" xr:uid="{4BC1B009-83A2-4DE7-A98F-96B2A2E0CAD0}">
      <text>
        <r>
          <rPr>
            <b/>
            <sz val="9"/>
            <color indexed="81"/>
            <rFont val="Segoe UI"/>
            <family val="2"/>
          </rPr>
          <t>dx = Intervall (der möglichen erwarteten Preisabweichungen)
Je größer das dx ist, desto mehr nährt sich das Delta 0.5 an.
Je kleiner dx ist, umso genauer wird die Ableitung (Delta).
Es nährt sich das mehr 0 bzw. 1 an. Je nachdem ob das Kraftwerk im Geld ist oder nicht.</t>
        </r>
      </text>
    </comment>
  </commentList>
</comments>
</file>

<file path=xl/sharedStrings.xml><?xml version="1.0" encoding="utf-8"?>
<sst xmlns="http://schemas.openxmlformats.org/spreadsheetml/2006/main" count="141" uniqueCount="132">
  <si>
    <t>K</t>
  </si>
  <si>
    <t>Sigma</t>
  </si>
  <si>
    <t>phi1</t>
  </si>
  <si>
    <t>Langfristniveau LN</t>
  </si>
  <si>
    <t>Mean</t>
  </si>
  <si>
    <t>Pfad</t>
  </si>
  <si>
    <t>T</t>
  </si>
  <si>
    <t>Stunde</t>
  </si>
  <si>
    <t>w1</t>
  </si>
  <si>
    <t>w2</t>
  </si>
  <si>
    <t>w3</t>
  </si>
  <si>
    <t>w4</t>
  </si>
  <si>
    <t>w5</t>
  </si>
  <si>
    <t>w6</t>
  </si>
  <si>
    <t>w7</t>
  </si>
  <si>
    <t>w8</t>
  </si>
  <si>
    <t>w9</t>
  </si>
  <si>
    <t>w10</t>
  </si>
  <si>
    <t>w11</t>
  </si>
  <si>
    <t>w12</t>
  </si>
  <si>
    <t>w13</t>
  </si>
  <si>
    <t>w14</t>
  </si>
  <si>
    <t>w15</t>
  </si>
  <si>
    <t>w16</t>
  </si>
  <si>
    <t>w17</t>
  </si>
  <si>
    <t>w18</t>
  </si>
  <si>
    <t>w19</t>
  </si>
  <si>
    <t>w20</t>
  </si>
  <si>
    <t>w21</t>
  </si>
  <si>
    <t>w22</t>
  </si>
  <si>
    <t>w23</t>
  </si>
  <si>
    <t>w24</t>
  </si>
  <si>
    <t>w25</t>
  </si>
  <si>
    <t>w26</t>
  </si>
  <si>
    <t>w27</t>
  </si>
  <si>
    <t>w28</t>
  </si>
  <si>
    <t>w29</t>
  </si>
  <si>
    <t>w30</t>
  </si>
  <si>
    <t>w31</t>
  </si>
  <si>
    <t>w32</t>
  </si>
  <si>
    <t>w33</t>
  </si>
  <si>
    <t>w34</t>
  </si>
  <si>
    <t>w35</t>
  </si>
  <si>
    <t>w36</t>
  </si>
  <si>
    <t>w37</t>
  </si>
  <si>
    <t>w38</t>
  </si>
  <si>
    <t>w39</t>
  </si>
  <si>
    <t>w40</t>
  </si>
  <si>
    <t>w41</t>
  </si>
  <si>
    <t>w42</t>
  </si>
  <si>
    <t>w43</t>
  </si>
  <si>
    <t>w44</t>
  </si>
  <si>
    <t>w45</t>
  </si>
  <si>
    <t>w46</t>
  </si>
  <si>
    <t>w47</t>
  </si>
  <si>
    <t>w48</t>
  </si>
  <si>
    <t>w49</t>
  </si>
  <si>
    <t>w50</t>
  </si>
  <si>
    <t>w51</t>
  </si>
  <si>
    <t>w52</t>
  </si>
  <si>
    <t>w53</t>
  </si>
  <si>
    <t>w54</t>
  </si>
  <si>
    <t>w55</t>
  </si>
  <si>
    <t>w56</t>
  </si>
  <si>
    <t>w57</t>
  </si>
  <si>
    <t>w58</t>
  </si>
  <si>
    <t>w59</t>
  </si>
  <si>
    <t>w60</t>
  </si>
  <si>
    <t>w61</t>
  </si>
  <si>
    <t>w62</t>
  </si>
  <si>
    <t>w63</t>
  </si>
  <si>
    <t>w64</t>
  </si>
  <si>
    <t>w65</t>
  </si>
  <si>
    <t>w66</t>
  </si>
  <si>
    <t>w67</t>
  </si>
  <si>
    <t>w68</t>
  </si>
  <si>
    <t>w69</t>
  </si>
  <si>
    <t>w70</t>
  </si>
  <si>
    <t>w71</t>
  </si>
  <si>
    <t>w72</t>
  </si>
  <si>
    <t>w73</t>
  </si>
  <si>
    <t>w74</t>
  </si>
  <si>
    <t>w75</t>
  </si>
  <si>
    <t>w76</t>
  </si>
  <si>
    <t>w77</t>
  </si>
  <si>
    <t>w78</t>
  </si>
  <si>
    <t>w79</t>
  </si>
  <si>
    <t>w80</t>
  </si>
  <si>
    <t>w81</t>
  </si>
  <si>
    <t>w82</t>
  </si>
  <si>
    <t>w83</t>
  </si>
  <si>
    <t>w84</t>
  </si>
  <si>
    <t>w85</t>
  </si>
  <si>
    <t>w86</t>
  </si>
  <si>
    <t>w87</t>
  </si>
  <si>
    <t>w88</t>
  </si>
  <si>
    <t>w89</t>
  </si>
  <si>
    <t>w90</t>
  </si>
  <si>
    <t>w91</t>
  </si>
  <si>
    <t>w92</t>
  </si>
  <si>
    <t>w93</t>
  </si>
  <si>
    <t>w94</t>
  </si>
  <si>
    <t>w95</t>
  </si>
  <si>
    <t>w96</t>
  </si>
  <si>
    <t>w97</t>
  </si>
  <si>
    <t>w98</t>
  </si>
  <si>
    <t>w99</t>
  </si>
  <si>
    <t>w100</t>
  </si>
  <si>
    <t>min</t>
  </si>
  <si>
    <t>Max</t>
  </si>
  <si>
    <t>Preise in T</t>
  </si>
  <si>
    <t xml:space="preserve">Cash-Flow (CF) in T </t>
  </si>
  <si>
    <t>Preissimulation</t>
  </si>
  <si>
    <t>erneute Abweichung</t>
  </si>
  <si>
    <t>Abweichung von LN in T</t>
  </si>
  <si>
    <t>Berechnung Cash Flow</t>
  </si>
  <si>
    <t>Realoptionswert (RO)</t>
  </si>
  <si>
    <t>Intrinsischer Wert (IV)</t>
  </si>
  <si>
    <t>Extrinsischer Wert (EV)</t>
  </si>
  <si>
    <t>+dx</t>
  </si>
  <si>
    <t>-dx</t>
  </si>
  <si>
    <t>dx</t>
  </si>
  <si>
    <t>delta</t>
  </si>
  <si>
    <t>Berechnung Realoptionswert und Delta</t>
  </si>
  <si>
    <t>Aufgaben</t>
  </si>
  <si>
    <t>Startpunkt Simulation t</t>
  </si>
  <si>
    <t>Warum verändert sich das Delta, wenn Sie dx verändern? (Zelle M16)</t>
  </si>
  <si>
    <t>Berechnen Sie das Delta auf Basis der abgebildeten Sensitivitätsbetrachtung (Zelle U10)</t>
  </si>
  <si>
    <t>Wie verändert sich das Delta, wenn Sie Startpunkt Simu anpassen (Zelle: D15) ? Erklären Sie die Änderung des Deltas inhaltlich (Zelle U10); mathematisch verändert sich der Mittelwert der Preise (Zelle: D22)</t>
  </si>
  <si>
    <t>Wie verändert sich das Delta, wenn Sie Sigma anpassen (Zelle: D 15)? Warum ergeben sich die Änderungen inhaltlich?</t>
  </si>
  <si>
    <t>Warum muss das Delta bei jeder Preisänderung (= neuer Startpunkt D15) angepasst werden?</t>
  </si>
  <si>
    <t>Zufall 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</si>
</sst>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 #,##0.00_-;_-* &quot;-&quot;??_-;_-@_-"/>
    <numFmt numFmtId="164" formatCode="0.0"/>
    <numFmt numFmtId="165" formatCode="_-* #,##0.0_-;\-* #,##0.0_-;_-* &quot;-&quot;??_-;_-@_-"/>
    <numFmt numFmtId="166" formatCode="_-* #,##0.0\ _€_-;\-* #,##0.0\ _€_-;_-* &quot;-&quot;?\ _€_-;_-@_-"/>
    <numFmt numFmtId="167" formatCode="_-* #,##0.000_-;\-* #,##0.000_-;_-* &quot;-&quot;??_-;_-@_-"/>
  </numFmts>
  <fonts count="4" x14ac:knownFonts="1">
    <font>
      <sz val="11"/>
      <color theme="1"/>
      <name val="Calibri"/>
      <family val="2"/>
      <scheme val="minor"/>
    </font>
    <font>
      <sz val="11"/>
      <color theme="1"/>
      <name val="Calibri"/>
      <family val="2"/>
      <scheme val="minor"/>
    </font>
    <font>
      <sz val="11"/>
      <color theme="0" tint="-0.249977111117893"/>
      <name val="Calibri"/>
      <family val="2"/>
      <scheme val="minor"/>
    </font>
    <font>
      <b/>
      <sz val="9"/>
      <color indexed="81"/>
      <name val="Segoe UI"/>
      <family val="2"/>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0" tint="-0.249977111117893"/>
        <bgColor indexed="64"/>
      </patternFill>
    </fill>
  </fills>
  <borders count="16">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bottom style="double">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3">
    <xf numFmtId="0" fontId="0" fillId="0" borderId="0" xfId="0"/>
    <xf numFmtId="0" fontId="0" fillId="0" borderId="1" xfId="0" applyBorder="1"/>
    <xf numFmtId="0" fontId="0" fillId="0" borderId="0" xfId="0" applyBorder="1"/>
    <xf numFmtId="0" fontId="0" fillId="0" borderId="3" xfId="0" applyBorder="1"/>
    <xf numFmtId="2" fontId="0" fillId="2" borderId="6" xfId="0" applyNumberFormat="1" applyFill="1" applyBorder="1"/>
    <xf numFmtId="0" fontId="0" fillId="0" borderId="0" xfId="0" applyFill="1" applyBorder="1"/>
    <xf numFmtId="2" fontId="0" fillId="0" borderId="0" xfId="0" applyNumberFormat="1" applyFill="1" applyBorder="1"/>
    <xf numFmtId="0" fontId="0" fillId="2" borderId="10" xfId="0" applyFill="1" applyBorder="1"/>
    <xf numFmtId="0" fontId="0" fillId="2" borderId="0" xfId="0" applyFill="1" applyBorder="1"/>
    <xf numFmtId="0" fontId="0" fillId="2" borderId="11" xfId="0" applyFill="1" applyBorder="1"/>
    <xf numFmtId="0" fontId="0" fillId="2" borderId="12" xfId="0" applyFill="1" applyBorder="1"/>
    <xf numFmtId="0" fontId="0" fillId="2" borderId="14" xfId="0" applyFill="1" applyBorder="1"/>
    <xf numFmtId="0" fontId="0" fillId="2" borderId="13" xfId="0" applyFill="1" applyBorder="1"/>
    <xf numFmtId="0" fontId="2" fillId="0" borderId="0" xfId="0" applyFont="1" applyFill="1" applyAlignment="1">
      <alignment horizontal="center"/>
    </xf>
    <xf numFmtId="0" fontId="0" fillId="0" borderId="0" xfId="0" applyFill="1"/>
    <xf numFmtId="0" fontId="0" fillId="0" borderId="15" xfId="0" applyFill="1" applyBorder="1" applyAlignment="1">
      <alignment horizontal="center"/>
    </xf>
    <xf numFmtId="0" fontId="2" fillId="0" borderId="0" xfId="0" applyFont="1"/>
    <xf numFmtId="0" fontId="0" fillId="0" borderId="0" xfId="0" applyAlignment="1">
      <alignment horizontal="center"/>
    </xf>
    <xf numFmtId="164" fontId="0" fillId="0" borderId="0" xfId="0" applyNumberFormat="1" applyAlignment="1">
      <alignment horizontal="center" vertical="center"/>
    </xf>
    <xf numFmtId="164" fontId="0" fillId="0" borderId="0" xfId="0" applyNumberFormat="1" applyFill="1" applyAlignment="1">
      <alignment horizontal="center" vertical="center"/>
    </xf>
    <xf numFmtId="0" fontId="0" fillId="0" borderId="15" xfId="0" applyFill="1" applyBorder="1"/>
    <xf numFmtId="165" fontId="0" fillId="0" borderId="0" xfId="1" applyNumberFormat="1" applyFont="1"/>
    <xf numFmtId="9" fontId="0" fillId="0" borderId="0" xfId="2" applyFont="1"/>
    <xf numFmtId="43" fontId="0" fillId="0" borderId="0" xfId="1" applyFont="1" applyBorder="1"/>
    <xf numFmtId="165" fontId="0" fillId="0" borderId="2" xfId="1" applyNumberFormat="1" applyFont="1" applyBorder="1"/>
    <xf numFmtId="165" fontId="0" fillId="0" borderId="4" xfId="1" applyNumberFormat="1" applyFont="1" applyBorder="1"/>
    <xf numFmtId="0" fontId="0" fillId="2" borderId="5" xfId="0" applyFill="1" applyBorder="1"/>
    <xf numFmtId="0" fontId="0" fillId="0" borderId="15" xfId="0" applyBorder="1"/>
    <xf numFmtId="165" fontId="0" fillId="0" borderId="0" xfId="1" applyNumberFormat="1" applyFont="1" applyFill="1" applyBorder="1"/>
    <xf numFmtId="165" fontId="0" fillId="0" borderId="0" xfId="1" applyNumberFormat="1" applyFont="1" applyBorder="1"/>
    <xf numFmtId="0" fontId="0" fillId="0" borderId="0" xfId="0" applyFill="1" applyBorder="1" applyAlignment="1">
      <alignment horizontal="center"/>
    </xf>
    <xf numFmtId="0" fontId="0" fillId="0" borderId="15" xfId="0" quotePrefix="1" applyFill="1" applyBorder="1" applyAlignment="1">
      <alignment horizontal="center"/>
    </xf>
    <xf numFmtId="166" fontId="0" fillId="0" borderId="0" xfId="0" applyNumberFormat="1"/>
    <xf numFmtId="9" fontId="0" fillId="0" borderId="0" xfId="2" applyFont="1" applyFill="1" applyBorder="1"/>
    <xf numFmtId="165" fontId="0" fillId="0" borderId="0" xfId="0" applyNumberFormat="1" applyFill="1" applyBorder="1"/>
    <xf numFmtId="166" fontId="0" fillId="0" borderId="0" xfId="0" applyNumberFormat="1" applyFill="1" applyBorder="1"/>
    <xf numFmtId="0" fontId="0" fillId="0" borderId="1" xfId="0" applyFill="1" applyBorder="1"/>
    <xf numFmtId="165" fontId="0" fillId="0" borderId="2" xfId="1" applyNumberFormat="1" applyFont="1" applyFill="1" applyBorder="1"/>
    <xf numFmtId="0" fontId="0" fillId="3" borderId="15" xfId="0" applyFill="1" applyBorder="1" applyAlignment="1">
      <alignment horizontal="center" wrapText="1"/>
    </xf>
    <xf numFmtId="0" fontId="0" fillId="5" borderId="5" xfId="0" applyFill="1" applyBorder="1"/>
    <xf numFmtId="0" fontId="0" fillId="5" borderId="6" xfId="0" applyFill="1" applyBorder="1"/>
    <xf numFmtId="43" fontId="0" fillId="0" borderId="0" xfId="1" applyNumberFormat="1" applyFont="1" applyBorder="1"/>
    <xf numFmtId="43" fontId="0" fillId="0" borderId="0" xfId="1" applyFont="1" applyFill="1" applyBorder="1"/>
    <xf numFmtId="167" fontId="0" fillId="4" borderId="0" xfId="1" applyNumberFormat="1" applyFont="1" applyFill="1"/>
    <xf numFmtId="0" fontId="0" fillId="3" borderId="11" xfId="0" applyFill="1" applyBorder="1"/>
    <xf numFmtId="0" fontId="0" fillId="3" borderId="10" xfId="0" applyFill="1" applyBorder="1"/>
    <xf numFmtId="0" fontId="0" fillId="3" borderId="0" xfId="0" applyFill="1" applyBorder="1"/>
    <xf numFmtId="0" fontId="0" fillId="3" borderId="7" xfId="0" applyFill="1" applyBorder="1"/>
    <xf numFmtId="0" fontId="0" fillId="3" borderId="8" xfId="0" applyFill="1" applyBorder="1"/>
    <xf numFmtId="0" fontId="0" fillId="3" borderId="9" xfId="0" applyFill="1" applyBorder="1"/>
    <xf numFmtId="0" fontId="0" fillId="0" borderId="0" xfId="0" applyFill="1" applyBorder="1" applyAlignment="1">
      <alignment horizontal="center"/>
    </xf>
    <xf numFmtId="0" fontId="0" fillId="3" borderId="15" xfId="0" applyFill="1" applyBorder="1" applyAlignment="1">
      <alignment horizontal="center" wrapText="1"/>
    </xf>
    <xf numFmtId="0" fontId="0" fillId="3" borderId="15" xfId="0" applyFill="1" applyBorder="1" applyAlignment="1">
      <alignment horizontal="center"/>
    </xf>
  </cellXfs>
  <cellStyles count="3">
    <cellStyle name="Komma" xfId="1" builtinId="3"/>
    <cellStyle name="Prozent" xfId="2"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29941673591172"/>
          <c:y val="8.0369328845786819E-2"/>
          <c:w val="0.83464454495250906"/>
          <c:h val="0.74975162617822599"/>
        </c:manualLayout>
      </c:layout>
      <c:scatterChart>
        <c:scatterStyle val="lineMarker"/>
        <c:varyColors val="0"/>
        <c:ser>
          <c:idx val="0"/>
          <c:order val="0"/>
          <c:tx>
            <c:v>Cash-Flow-Funktion</c:v>
          </c:tx>
          <c:spPr>
            <a:ln w="19050">
              <a:solidFill>
                <a:schemeClr val="tx1">
                  <a:lumMod val="15000"/>
                  <a:lumOff val="85000"/>
                </a:schemeClr>
              </a:solidFill>
            </a:ln>
          </c:spPr>
          <c:marker>
            <c:spPr>
              <a:noFill/>
              <a:ln>
                <a:noFill/>
              </a:ln>
            </c:spPr>
          </c:marker>
          <c:xVal>
            <c:numRef>
              <c:f>Delta!$V$15:$V$26</c:f>
              <c:numCache>
                <c:formatCode>General</c:formatCode>
                <c:ptCount val="12"/>
                <c:pt idx="0">
                  <c:v>34.49</c:v>
                </c:pt>
                <c:pt idx="1">
                  <c:v>35.49</c:v>
                </c:pt>
                <c:pt idx="2">
                  <c:v>36.49</c:v>
                </c:pt>
                <c:pt idx="3">
                  <c:v>37.49</c:v>
                </c:pt>
                <c:pt idx="4">
                  <c:v>38.49</c:v>
                </c:pt>
                <c:pt idx="5">
                  <c:v>39.49</c:v>
                </c:pt>
                <c:pt idx="6">
                  <c:v>39.5</c:v>
                </c:pt>
                <c:pt idx="7">
                  <c:v>39.51</c:v>
                </c:pt>
                <c:pt idx="8">
                  <c:v>40.51</c:v>
                </c:pt>
                <c:pt idx="9">
                  <c:v>41.51</c:v>
                </c:pt>
                <c:pt idx="10">
                  <c:v>42.51</c:v>
                </c:pt>
                <c:pt idx="11">
                  <c:v>43.51</c:v>
                </c:pt>
              </c:numCache>
            </c:numRef>
          </c:xVal>
          <c:yVal>
            <c:numRef>
              <c:f>Delta!$W$15:$W$26</c:f>
              <c:numCache>
                <c:formatCode>General</c:formatCode>
                <c:ptCount val="12"/>
                <c:pt idx="0">
                  <c:v>0</c:v>
                </c:pt>
                <c:pt idx="1">
                  <c:v>0</c:v>
                </c:pt>
                <c:pt idx="2">
                  <c:v>0</c:v>
                </c:pt>
                <c:pt idx="3">
                  <c:v>0</c:v>
                </c:pt>
                <c:pt idx="4">
                  <c:v>0</c:v>
                </c:pt>
                <c:pt idx="5">
                  <c:v>0</c:v>
                </c:pt>
                <c:pt idx="6">
                  <c:v>0</c:v>
                </c:pt>
                <c:pt idx="7">
                  <c:v>9.9999999999980105E-3</c:v>
                </c:pt>
                <c:pt idx="8">
                  <c:v>1.009999999999998</c:v>
                </c:pt>
                <c:pt idx="9">
                  <c:v>2.009999999999998</c:v>
                </c:pt>
                <c:pt idx="10">
                  <c:v>3.009999999999998</c:v>
                </c:pt>
                <c:pt idx="11">
                  <c:v>4.009999999999998</c:v>
                </c:pt>
              </c:numCache>
            </c:numRef>
          </c:yVal>
          <c:smooth val="0"/>
          <c:extLst>
            <c:ext xmlns:c16="http://schemas.microsoft.com/office/drawing/2014/chart" uri="{C3380CC4-5D6E-409C-BE32-E72D297353CC}">
              <c16:uniqueId val="{00000006-1A6C-47C0-9FDD-48BEBA9D054B}"/>
            </c:ext>
          </c:extLst>
        </c:ser>
        <c:ser>
          <c:idx val="1"/>
          <c:order val="1"/>
          <c:tx>
            <c:v>IV</c:v>
          </c:tx>
          <c:spPr>
            <a:ln w="19050">
              <a:noFill/>
            </a:ln>
          </c:spPr>
          <c:xVal>
            <c:numRef>
              <c:f>Delta!$D$22</c:f>
              <c:numCache>
                <c:formatCode>_-* #,##0.0_-;\-* #,##0.0_-;_-* "-"??_-;_-@_-</c:formatCode>
                <c:ptCount val="1"/>
                <c:pt idx="0">
                  <c:v>40</c:v>
                </c:pt>
              </c:numCache>
            </c:numRef>
          </c:xVal>
          <c:yVal>
            <c:numRef>
              <c:f>Delta!$R$11</c:f>
              <c:numCache>
                <c:formatCode>_(* #,##0.00_);_(* \(#,##0.00\);_(* "-"??_);_(@_)</c:formatCode>
                <c:ptCount val="1"/>
                <c:pt idx="0">
                  <c:v>0.5</c:v>
                </c:pt>
              </c:numCache>
            </c:numRef>
          </c:yVal>
          <c:smooth val="0"/>
          <c:extLst>
            <c:ext xmlns:c16="http://schemas.microsoft.com/office/drawing/2014/chart" uri="{C3380CC4-5D6E-409C-BE32-E72D297353CC}">
              <c16:uniqueId val="{00000007-1A6C-47C0-9FDD-48BEBA9D054B}"/>
            </c:ext>
          </c:extLst>
        </c:ser>
        <c:ser>
          <c:idx val="2"/>
          <c:order val="2"/>
          <c:tx>
            <c:v>RO</c:v>
          </c:tx>
          <c:spPr>
            <a:ln w="19050">
              <a:noFill/>
            </a:ln>
          </c:spPr>
          <c:xVal>
            <c:numRef>
              <c:f>Delta!$D$22</c:f>
              <c:numCache>
                <c:formatCode>_-* #,##0.0_-;\-* #,##0.0_-;_-* "-"??_-;_-@_-</c:formatCode>
                <c:ptCount val="1"/>
                <c:pt idx="0">
                  <c:v>40</c:v>
                </c:pt>
              </c:numCache>
            </c:numRef>
          </c:xVal>
          <c:yVal>
            <c:numRef>
              <c:f>Delta!$R$10</c:f>
              <c:numCache>
                <c:formatCode>_(* #,##0.00_);_(* \(#,##0.00\);_(* "-"??_);_(@_)</c:formatCode>
                <c:ptCount val="1"/>
                <c:pt idx="0">
                  <c:v>0.5</c:v>
                </c:pt>
              </c:numCache>
            </c:numRef>
          </c:yVal>
          <c:smooth val="0"/>
          <c:extLst>
            <c:ext xmlns:c16="http://schemas.microsoft.com/office/drawing/2014/chart" uri="{C3380CC4-5D6E-409C-BE32-E72D297353CC}">
              <c16:uniqueId val="{00000008-1A6C-47C0-9FDD-48BEBA9D054B}"/>
            </c:ext>
          </c:extLst>
        </c:ser>
        <c:dLbls>
          <c:showLegendKey val="0"/>
          <c:showVal val="0"/>
          <c:showCatName val="0"/>
          <c:showSerName val="0"/>
          <c:showPercent val="0"/>
          <c:showBubbleSize val="0"/>
        </c:dLbls>
        <c:axId val="517786296"/>
        <c:axId val="517784984"/>
      </c:scatterChart>
      <c:valAx>
        <c:axId val="517786296"/>
        <c:scaling>
          <c:orientation val="minMax"/>
          <c:min val="35"/>
        </c:scaling>
        <c:delete val="0"/>
        <c:axPos val="b"/>
        <c:title>
          <c:tx>
            <c:rich>
              <a:bodyPr/>
              <a:lstStyle/>
              <a:p>
                <a:pPr>
                  <a:defRPr/>
                </a:pPr>
                <a:r>
                  <a:rPr lang="de-DE"/>
                  <a:t>spread</a:t>
                </a:r>
              </a:p>
            </c:rich>
          </c:tx>
          <c:overlay val="0"/>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17784984"/>
        <c:crosses val="autoZero"/>
        <c:crossBetween val="midCat"/>
        <c:minorUnit val="2"/>
      </c:valAx>
      <c:valAx>
        <c:axId val="517784984"/>
        <c:scaling>
          <c:orientation val="minMax"/>
        </c:scaling>
        <c:delete val="0"/>
        <c:axPos val="l"/>
        <c:title>
          <c:tx>
            <c:rich>
              <a:bodyPr/>
              <a:lstStyle/>
              <a:p>
                <a:pPr>
                  <a:defRPr/>
                </a:pPr>
                <a:r>
                  <a:rPr lang="de-DE"/>
                  <a:t>value</a:t>
                </a:r>
              </a:p>
            </c:rich>
          </c:tx>
          <c:overlay val="0"/>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17786296"/>
        <c:crosses val="autoZero"/>
        <c:crossBetween val="midCat"/>
      </c:valAx>
    </c:plotArea>
    <c:legend>
      <c:legendPos val="r"/>
      <c:layout>
        <c:manualLayout>
          <c:xMode val="edge"/>
          <c:yMode val="edge"/>
          <c:x val="0.13435202404853289"/>
          <c:y val="0.15231289942871556"/>
          <c:w val="0.49786071509060342"/>
          <c:h val="0.20576128583203743"/>
        </c:manualLayout>
      </c:layout>
      <c:overlay val="0"/>
    </c:legend>
    <c:plotVisOnly val="1"/>
    <c:dispBlanksAs val="gap"/>
    <c:showDLblsOverMax val="0"/>
  </c:chart>
  <c:txPr>
    <a:bodyPr/>
    <a:lstStyle/>
    <a:p>
      <a:pPr>
        <a:defRPr/>
      </a:pPr>
      <a:endParaRPr lang="de-DE"/>
    </a:p>
  </c:txPr>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529941673591172"/>
          <c:y val="8.0369328845786819E-2"/>
          <c:w val="0.83464454495250906"/>
          <c:h val="0.74975162617822599"/>
        </c:manualLayout>
      </c:layout>
      <c:scatterChart>
        <c:scatterStyle val="lineMarker"/>
        <c:varyColors val="0"/>
        <c:ser>
          <c:idx val="3"/>
          <c:order val="0"/>
          <c:tx>
            <c:v>Intrinsic Hedge</c:v>
          </c:tx>
          <c:spPr>
            <a:ln w="28575">
              <a:solidFill>
                <a:schemeClr val="bg2">
                  <a:lumMod val="75000"/>
                </a:schemeClr>
              </a:solidFill>
            </a:ln>
          </c:spPr>
          <c:marker>
            <c:spPr>
              <a:noFill/>
              <a:ln>
                <a:noFill/>
              </a:ln>
            </c:spPr>
          </c:marker>
          <c:xVal>
            <c:numRef>
              <c:f>Delta!$V$15:$V$26</c:f>
              <c:numCache>
                <c:formatCode>General</c:formatCode>
                <c:ptCount val="12"/>
                <c:pt idx="0">
                  <c:v>34.49</c:v>
                </c:pt>
                <c:pt idx="1">
                  <c:v>35.49</c:v>
                </c:pt>
                <c:pt idx="2">
                  <c:v>36.49</c:v>
                </c:pt>
                <c:pt idx="3">
                  <c:v>37.49</c:v>
                </c:pt>
                <c:pt idx="4">
                  <c:v>38.49</c:v>
                </c:pt>
                <c:pt idx="5">
                  <c:v>39.49</c:v>
                </c:pt>
                <c:pt idx="6">
                  <c:v>39.5</c:v>
                </c:pt>
                <c:pt idx="7">
                  <c:v>39.51</c:v>
                </c:pt>
                <c:pt idx="8">
                  <c:v>40.51</c:v>
                </c:pt>
                <c:pt idx="9">
                  <c:v>41.51</c:v>
                </c:pt>
                <c:pt idx="10">
                  <c:v>42.51</c:v>
                </c:pt>
                <c:pt idx="11">
                  <c:v>43.51</c:v>
                </c:pt>
              </c:numCache>
            </c:numRef>
          </c:xVal>
          <c:yVal>
            <c:numRef>
              <c:f>Delta!$Y$15:$Y$26</c:f>
              <c:numCache>
                <c:formatCode>General</c:formatCode>
                <c:ptCount val="12"/>
                <c:pt idx="0">
                  <c:v>0</c:v>
                </c:pt>
                <c:pt idx="1">
                  <c:v>0</c:v>
                </c:pt>
                <c:pt idx="2">
                  <c:v>0</c:v>
                </c:pt>
                <c:pt idx="3">
                  <c:v>0</c:v>
                </c:pt>
                <c:pt idx="4">
                  <c:v>0</c:v>
                </c:pt>
                <c:pt idx="5">
                  <c:v>0</c:v>
                </c:pt>
                <c:pt idx="6">
                  <c:v>0</c:v>
                </c:pt>
                <c:pt idx="7">
                  <c:v>1</c:v>
                </c:pt>
                <c:pt idx="8">
                  <c:v>1</c:v>
                </c:pt>
                <c:pt idx="9">
                  <c:v>1</c:v>
                </c:pt>
                <c:pt idx="10">
                  <c:v>1</c:v>
                </c:pt>
                <c:pt idx="11">
                  <c:v>1</c:v>
                </c:pt>
              </c:numCache>
            </c:numRef>
          </c:yVal>
          <c:smooth val="0"/>
          <c:extLst>
            <c:ext xmlns:c16="http://schemas.microsoft.com/office/drawing/2014/chart" uri="{C3380CC4-5D6E-409C-BE32-E72D297353CC}">
              <c16:uniqueId val="{00000009-C332-4623-9672-D0D99685D7E6}"/>
            </c:ext>
          </c:extLst>
        </c:ser>
        <c:ser>
          <c:idx val="1"/>
          <c:order val="1"/>
          <c:tx>
            <c:v>Delta</c:v>
          </c:tx>
          <c:spPr>
            <a:ln w="19050">
              <a:noFill/>
            </a:ln>
          </c:spPr>
          <c:xVal>
            <c:numRef>
              <c:f>Delta!$D$22</c:f>
              <c:numCache>
                <c:formatCode>_-* #,##0.0_-;\-* #,##0.0_-;_-* "-"??_-;_-@_-</c:formatCode>
                <c:ptCount val="1"/>
                <c:pt idx="0">
                  <c:v>40</c:v>
                </c:pt>
              </c:numCache>
            </c:numRef>
          </c:xVal>
          <c:yVal>
            <c:numRef>
              <c:f>Delta!$U$10</c:f>
              <c:numCache>
                <c:formatCode>_-* #,##0.000_-;\-* #,##0.000_-;_-* "-"??_-;_-@_-</c:formatCode>
                <c:ptCount val="1"/>
                <c:pt idx="0">
                  <c:v>0.55000000000000004</c:v>
                </c:pt>
              </c:numCache>
            </c:numRef>
          </c:yVal>
          <c:smooth val="0"/>
          <c:extLst>
            <c:ext xmlns:c16="http://schemas.microsoft.com/office/drawing/2014/chart" uri="{C3380CC4-5D6E-409C-BE32-E72D297353CC}">
              <c16:uniqueId val="{00000006-C332-4623-9672-D0D99685D7E6}"/>
            </c:ext>
          </c:extLst>
        </c:ser>
        <c:dLbls>
          <c:showLegendKey val="0"/>
          <c:showVal val="0"/>
          <c:showCatName val="0"/>
          <c:showSerName val="0"/>
          <c:showPercent val="0"/>
          <c:showBubbleSize val="0"/>
        </c:dLbls>
        <c:axId val="517786296"/>
        <c:axId val="517784984"/>
      </c:scatterChart>
      <c:valAx>
        <c:axId val="517786296"/>
        <c:scaling>
          <c:orientation val="minMax"/>
          <c:min val="35"/>
        </c:scaling>
        <c:delete val="0"/>
        <c:axPos val="b"/>
        <c:title>
          <c:tx>
            <c:rich>
              <a:bodyPr/>
              <a:lstStyle/>
              <a:p>
                <a:pPr>
                  <a:defRPr/>
                </a:pPr>
                <a:r>
                  <a:rPr lang="de-DE"/>
                  <a:t>spread</a:t>
                </a:r>
              </a:p>
            </c:rich>
          </c:tx>
          <c:overlay val="0"/>
        </c:title>
        <c:numFmt formatCode="General" sourceLinked="1"/>
        <c:majorTickMark val="in"/>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17784984"/>
        <c:crosses val="autoZero"/>
        <c:crossBetween val="midCat"/>
        <c:minorUnit val="2"/>
      </c:valAx>
      <c:valAx>
        <c:axId val="517784984"/>
        <c:scaling>
          <c:orientation val="minMax"/>
          <c:max val="1"/>
        </c:scaling>
        <c:delete val="0"/>
        <c:axPos val="l"/>
        <c:title>
          <c:tx>
            <c:rich>
              <a:bodyPr/>
              <a:lstStyle/>
              <a:p>
                <a:pPr>
                  <a:defRPr/>
                </a:pPr>
                <a:r>
                  <a:rPr lang="de-DE"/>
                  <a:t>delta</a:t>
                </a:r>
              </a:p>
            </c:rich>
          </c:tx>
          <c:overlay val="0"/>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517786296"/>
        <c:crosses val="autoZero"/>
        <c:crossBetween val="midCat"/>
      </c:valAx>
    </c:plotArea>
    <c:legend>
      <c:legendPos val="r"/>
      <c:layout>
        <c:manualLayout>
          <c:xMode val="edge"/>
          <c:yMode val="edge"/>
          <c:x val="0.5713269874475787"/>
          <c:y val="0.56209727130289977"/>
          <c:w val="0.35220239395758818"/>
          <c:h val="0.11528941152215262"/>
        </c:manualLayout>
      </c:layout>
      <c:overlay val="0"/>
    </c:legend>
    <c:plotVisOnly val="1"/>
    <c:dispBlanksAs val="gap"/>
    <c:showDLblsOverMax val="0"/>
  </c:chart>
  <c:txPr>
    <a:bodyPr/>
    <a:lstStyle/>
    <a:p>
      <a:pPr>
        <a:defRPr/>
      </a:pPr>
      <a:endParaRPr lang="de-DE"/>
    </a:p>
  </c:txPr>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8</xdr:col>
      <xdr:colOff>14655</xdr:colOff>
      <xdr:row>16</xdr:row>
      <xdr:rowOff>97448</xdr:rowOff>
    </xdr:from>
    <xdr:ext cx="1491562" cy="172227"/>
    <mc:AlternateContent xmlns:mc="http://schemas.openxmlformats.org/markup-compatibility/2006" xmlns:a14="http://schemas.microsoft.com/office/drawing/2010/main">
      <mc:Choice Requires="a14">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4593982" y="4002698"/>
              <a:ext cx="14915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de-DE" sz="1100" b="0" i="1">
                        <a:latin typeface="Cambria Math" panose="02040503050406030204" pitchFamily="18" charset="0"/>
                      </a:rPr>
                      <m:t>𝐶𝐹</m:t>
                    </m:r>
                    <m:r>
                      <a:rPr lang="de-DE" sz="1100" b="0" i="1">
                        <a:latin typeface="Cambria Math" panose="02040503050406030204" pitchFamily="18" charset="0"/>
                      </a:rPr>
                      <m:t>=</m:t>
                    </m:r>
                    <m:r>
                      <m:rPr>
                        <m:sty m:val="p"/>
                      </m:rPr>
                      <a:rPr lang="de-DE" sz="1100" b="0" i="0">
                        <a:latin typeface="Cambria Math" panose="02040503050406030204" pitchFamily="18" charset="0"/>
                      </a:rPr>
                      <m:t>max</m:t>
                    </m:r>
                    <m:r>
                      <a:rPr lang="de-DE" sz="1100" b="0" i="1">
                        <a:latin typeface="Cambria Math" panose="02040503050406030204" pitchFamily="18" charset="0"/>
                      </a:rPr>
                      <m:t>⁡[0;</m:t>
                    </m:r>
                    <m:r>
                      <a:rPr lang="de-DE" sz="1100" b="0" i="1">
                        <a:latin typeface="Cambria Math" panose="02040503050406030204" pitchFamily="18" charset="0"/>
                      </a:rPr>
                      <m:t>𝑃𝑟𝑒𝑖𝑠</m:t>
                    </m:r>
                    <m:r>
                      <a:rPr lang="de-DE" sz="1100" b="0" i="1">
                        <a:latin typeface="Cambria Math" panose="02040503050406030204" pitchFamily="18" charset="0"/>
                      </a:rPr>
                      <m:t>−</m:t>
                    </m:r>
                    <m:r>
                      <a:rPr lang="de-DE" sz="1100" b="0" i="1">
                        <a:latin typeface="Cambria Math" panose="02040503050406030204" pitchFamily="18" charset="0"/>
                      </a:rPr>
                      <m:t>𝐾</m:t>
                    </m:r>
                    <m:r>
                      <a:rPr lang="de-DE" sz="1100" b="0" i="1">
                        <a:latin typeface="Cambria Math" panose="02040503050406030204" pitchFamily="18" charset="0"/>
                      </a:rPr>
                      <m:t>]</m:t>
                    </m:r>
                  </m:oMath>
                </m:oMathPara>
              </a14:m>
              <a:endParaRPr lang="de-DE" sz="1100"/>
            </a:p>
          </xdr:txBody>
        </xdr:sp>
      </mc:Choice>
      <mc:Fallback xmlns="">
        <xdr:sp macro="" textlink="">
          <xdr:nvSpPr>
            <xdr:cNvPr id="5" name="Textfeld 4"/>
            <xdr:cNvSpPr txBox="1"/>
          </xdr:nvSpPr>
          <xdr:spPr>
            <a:xfrm>
              <a:off x="4593982" y="4002698"/>
              <a:ext cx="1491562"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de-DE" sz="1100" b="0" i="0">
                  <a:latin typeface="Cambria Math" panose="02040503050406030204" pitchFamily="18" charset="0"/>
                </a:rPr>
                <a:t>𝐶𝐹=max⁡[0;𝑃𝑟𝑒𝑖𝑠−𝐾]</a:t>
              </a:r>
              <a:endParaRPr lang="de-DE" sz="1100"/>
            </a:p>
          </xdr:txBody>
        </xdr:sp>
      </mc:Fallback>
    </mc:AlternateContent>
    <xdr:clientData/>
  </xdr:oneCellAnchor>
  <xdr:twoCellAnchor>
    <xdr:from>
      <xdr:col>1</xdr:col>
      <xdr:colOff>234461</xdr:colOff>
      <xdr:row>8</xdr:row>
      <xdr:rowOff>68873</xdr:rowOff>
    </xdr:from>
    <xdr:to>
      <xdr:col>6</xdr:col>
      <xdr:colOff>849923</xdr:colOff>
      <xdr:row>9</xdr:row>
      <xdr:rowOff>136072</xdr:rowOff>
    </xdr:to>
    <mc:AlternateContent xmlns:mc="http://schemas.openxmlformats.org/markup-compatibility/2006" xmlns:a14="http://schemas.microsoft.com/office/drawing/2010/main">
      <mc:Choice Requires="a14">
        <xdr:sp macro="" textlink="">
          <xdr:nvSpPr>
            <xdr:cNvPr id="14" name="Rechteck 13">
              <a:extLst>
                <a:ext uri="{FF2B5EF4-FFF2-40B4-BE49-F238E27FC236}">
                  <a16:creationId xmlns:a16="http://schemas.microsoft.com/office/drawing/2014/main" id="{00000000-0008-0000-0000-00000E000000}"/>
                </a:ext>
              </a:extLst>
            </xdr:cNvPr>
            <xdr:cNvSpPr/>
          </xdr:nvSpPr>
          <xdr:spPr>
            <a:xfrm>
              <a:off x="234461" y="1614854"/>
              <a:ext cx="3018693" cy="279680"/>
            </a:xfrm>
            <a:prstGeom prst="rect">
              <a:avLst/>
            </a:prstGeom>
          </xdr:spPr>
          <xdr:txBody>
            <a:bodyPr wrap="square">
              <a:spAutoFit/>
            </a:bodyPr>
            <a:lstStyle>
              <a:defPPr>
                <a:defRPr lang="de-DE"/>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de-DE" sz="1100" kern="1200">
                  <a:solidFill>
                    <a:schemeClr val="tx1"/>
                  </a:solidFill>
                  <a:effectLst/>
                  <a:ea typeface="+mn-ea"/>
                  <a:cs typeface="+mn-cs"/>
                </a:rPr>
                <a:t> </a:t>
              </a:r>
              <a14:m>
                <m:oMath xmlns:m="http://schemas.openxmlformats.org/officeDocument/2006/math">
                  <m:r>
                    <a:rPr lang="de-DE" sz="1100" i="1" kern="1200">
                      <a:solidFill>
                        <a:schemeClr val="tx1"/>
                      </a:solidFill>
                      <a:effectLst/>
                      <a:latin typeface="Cambria Math" panose="02040503050406030204" pitchFamily="18" charset="0"/>
                      <a:ea typeface="+mn-ea"/>
                      <a:cs typeface="+mn-cs"/>
                    </a:rPr>
                    <m:t>𝑃</m:t>
                  </m:r>
                  <m:r>
                    <a:rPr lang="de-DE" sz="1100" b="0" i="1" kern="1200">
                      <a:solidFill>
                        <a:schemeClr val="tx1"/>
                      </a:solidFill>
                      <a:effectLst/>
                      <a:latin typeface="Cambria Math" panose="02040503050406030204" pitchFamily="18" charset="0"/>
                      <a:ea typeface="+mn-ea"/>
                      <a:cs typeface="+mn-cs"/>
                    </a:rPr>
                    <m:t>𝑟𝑒𝑖</m:t>
                  </m:r>
                  <m:sSub>
                    <m:sSubPr>
                      <m:ctrlPr>
                        <a:rPr lang="de-DE" sz="1100" b="0" i="1" kern="1200">
                          <a:solidFill>
                            <a:schemeClr val="tx1"/>
                          </a:solidFill>
                          <a:effectLst/>
                          <a:latin typeface="Cambria Math" panose="02040503050406030204" pitchFamily="18" charset="0"/>
                          <a:ea typeface="+mn-ea"/>
                          <a:cs typeface="+mn-cs"/>
                        </a:rPr>
                      </m:ctrlPr>
                    </m:sSubPr>
                    <m:e>
                      <m:r>
                        <a:rPr lang="de-DE" sz="1100" b="0" i="1" kern="1200">
                          <a:solidFill>
                            <a:schemeClr val="tx1"/>
                          </a:solidFill>
                          <a:effectLst/>
                          <a:latin typeface="Cambria Math" panose="02040503050406030204" pitchFamily="18" charset="0"/>
                          <a:ea typeface="+mn-ea"/>
                          <a:cs typeface="+mn-cs"/>
                        </a:rPr>
                        <m:t>𝑠</m:t>
                      </m:r>
                    </m:e>
                    <m:sub>
                      <m:r>
                        <a:rPr lang="de-DE" sz="1100" b="0" i="1" kern="1200">
                          <a:solidFill>
                            <a:schemeClr val="tx1"/>
                          </a:solidFill>
                          <a:effectLst/>
                          <a:latin typeface="Cambria Math" panose="02040503050406030204" pitchFamily="18" charset="0"/>
                          <a:ea typeface="+mn-ea"/>
                          <a:cs typeface="+mn-cs"/>
                        </a:rPr>
                        <m:t>𝑇</m:t>
                      </m:r>
                    </m:sub>
                  </m:sSub>
                  <m:r>
                    <a:rPr lang="de-DE" sz="1100" b="0" i="1" kern="1200">
                      <a:solidFill>
                        <a:schemeClr val="tx1"/>
                      </a:solidFill>
                      <a:effectLst/>
                      <a:latin typeface="Cambria Math" panose="02040503050406030204" pitchFamily="18" charset="0"/>
                      <a:ea typeface="+mn-ea"/>
                      <a:cs typeface="+mn-cs"/>
                    </a:rPr>
                    <m:t>=</m:t>
                  </m:r>
                  <m:r>
                    <a:rPr lang="de-DE" sz="1100" b="0" i="1" kern="1200">
                      <a:solidFill>
                        <a:schemeClr val="tx1"/>
                      </a:solidFill>
                      <a:effectLst/>
                      <a:latin typeface="Cambria Math" panose="02040503050406030204" pitchFamily="18" charset="0"/>
                      <a:ea typeface="+mn-ea"/>
                      <a:cs typeface="+mn-cs"/>
                    </a:rPr>
                    <m:t>𝜑</m:t>
                  </m:r>
                  <m:r>
                    <a:rPr lang="de-DE" sz="1100" b="0" i="1" kern="1200">
                      <a:solidFill>
                        <a:schemeClr val="tx1"/>
                      </a:solidFill>
                      <a:effectLst/>
                      <a:latin typeface="Cambria Math" panose="02040503050406030204" pitchFamily="18" charset="0"/>
                      <a:ea typeface="+mn-ea"/>
                      <a:cs typeface="+mn-cs"/>
                    </a:rPr>
                    <m:t>∙</m:t>
                  </m:r>
                  <m:d>
                    <m:dPr>
                      <m:ctrlPr>
                        <a:rPr lang="de-DE" sz="1100" b="0" i="1" kern="1200">
                          <a:solidFill>
                            <a:schemeClr val="tx1"/>
                          </a:solidFill>
                          <a:effectLst/>
                          <a:latin typeface="Cambria Math" panose="02040503050406030204" pitchFamily="18" charset="0"/>
                          <a:ea typeface="+mn-ea"/>
                          <a:cs typeface="+mn-cs"/>
                        </a:rPr>
                      </m:ctrlPr>
                    </m:dPr>
                    <m:e>
                      <m:sSub>
                        <m:sSubPr>
                          <m:ctrlPr>
                            <a:rPr lang="de-DE" sz="1100" i="1" kern="1200">
                              <a:solidFill>
                                <a:schemeClr val="tx1"/>
                              </a:solidFill>
                              <a:effectLst/>
                              <a:latin typeface="Cambria Math" panose="02040503050406030204" pitchFamily="18" charset="0"/>
                              <a:ea typeface="+mn-ea"/>
                              <a:cs typeface="+mn-cs"/>
                            </a:rPr>
                          </m:ctrlPr>
                        </m:sSubPr>
                        <m:e>
                          <m:r>
                            <a:rPr lang="de-DE" sz="1100" b="0" i="1" kern="1200">
                              <a:solidFill>
                                <a:schemeClr val="tx1"/>
                              </a:solidFill>
                              <a:effectLst/>
                              <a:latin typeface="Cambria Math" panose="02040503050406030204" pitchFamily="18" charset="0"/>
                              <a:ea typeface="+mn-ea"/>
                              <a:cs typeface="+mn-cs"/>
                            </a:rPr>
                            <m:t>𝑃𝑟𝑒𝑖𝑠</m:t>
                          </m:r>
                        </m:e>
                        <m:sub>
                          <m:r>
                            <a:rPr lang="de-DE" sz="1100" i="1" kern="1200">
                              <a:solidFill>
                                <a:schemeClr val="tx1"/>
                              </a:solidFill>
                              <a:effectLst/>
                              <a:latin typeface="Cambria Math" panose="02040503050406030204" pitchFamily="18" charset="0"/>
                              <a:ea typeface="+mn-ea"/>
                              <a:cs typeface="+mn-cs"/>
                            </a:rPr>
                            <m:t>𝑡</m:t>
                          </m:r>
                        </m:sub>
                      </m:sSub>
                      <m:r>
                        <a:rPr lang="de-DE" sz="1100" b="0" i="1" kern="1200">
                          <a:solidFill>
                            <a:schemeClr val="tx1"/>
                          </a:solidFill>
                          <a:effectLst/>
                          <a:latin typeface="Cambria Math" panose="02040503050406030204" pitchFamily="18" charset="0"/>
                          <a:ea typeface="+mn-ea"/>
                          <a:cs typeface="+mn-cs"/>
                        </a:rPr>
                        <m:t>−</m:t>
                      </m:r>
                      <m:r>
                        <a:rPr lang="de-DE" sz="1100" b="0" i="1" kern="1200">
                          <a:solidFill>
                            <a:schemeClr val="tx1"/>
                          </a:solidFill>
                          <a:effectLst/>
                          <a:latin typeface="Cambria Math" panose="02040503050406030204" pitchFamily="18" charset="0"/>
                          <a:ea typeface="+mn-ea"/>
                          <a:cs typeface="+mn-cs"/>
                        </a:rPr>
                        <m:t>𝐿𝑁</m:t>
                      </m:r>
                    </m:e>
                  </m:d>
                  <m:r>
                    <a:rPr lang="de-DE" sz="1100" b="0" i="1" kern="1200">
                      <a:solidFill>
                        <a:schemeClr val="tx1"/>
                      </a:solidFill>
                      <a:effectLst/>
                      <a:latin typeface="Cambria Math" panose="02040503050406030204" pitchFamily="18" charset="0"/>
                      <a:ea typeface="+mn-ea"/>
                      <a:cs typeface="+mn-cs"/>
                    </a:rPr>
                    <m:t>+</m:t>
                  </m:r>
                  <m:r>
                    <a:rPr lang="de-DE" sz="1100" b="0" i="1" kern="1200">
                      <a:solidFill>
                        <a:schemeClr val="tx1"/>
                      </a:solidFill>
                      <a:effectLst/>
                      <a:latin typeface="Cambria Math" panose="02040503050406030204" pitchFamily="18" charset="0"/>
                      <a:ea typeface="+mn-ea"/>
                      <a:cs typeface="+mn-cs"/>
                    </a:rPr>
                    <m:t>𝐿𝑁</m:t>
                  </m:r>
                  <m:r>
                    <a:rPr lang="de-DE" sz="1100" b="0" i="1" kern="1200">
                      <a:solidFill>
                        <a:schemeClr val="tx1"/>
                      </a:solidFill>
                      <a:effectLst/>
                      <a:latin typeface="Cambria Math" panose="02040503050406030204" pitchFamily="18" charset="0"/>
                      <a:ea typeface="+mn-ea"/>
                      <a:cs typeface="+mn-cs"/>
                    </a:rPr>
                    <m:t>+</m:t>
                  </m:r>
                  <m:r>
                    <a:rPr lang="de-DE" sz="1100" b="0" i="1" kern="1200">
                      <a:solidFill>
                        <a:schemeClr val="tx1"/>
                      </a:solidFill>
                      <a:effectLst/>
                      <a:latin typeface="Cambria Math" panose="02040503050406030204" pitchFamily="18" charset="0"/>
                      <a:ea typeface="+mn-ea"/>
                      <a:cs typeface="+mn-cs"/>
                    </a:rPr>
                    <m:t>𝜎</m:t>
                  </m:r>
                  <m:r>
                    <a:rPr lang="de-DE" sz="1100" b="0" i="1" kern="1200">
                      <a:solidFill>
                        <a:schemeClr val="tx1"/>
                      </a:solidFill>
                      <a:effectLst/>
                      <a:latin typeface="Cambria Math" panose="02040503050406030204" pitchFamily="18" charset="0"/>
                      <a:ea typeface="+mn-ea"/>
                      <a:cs typeface="+mn-cs"/>
                    </a:rPr>
                    <m:t>∙</m:t>
                  </m:r>
                  <m:r>
                    <a:rPr lang="de-DE" sz="1100" b="0" i="1" kern="1200">
                      <a:solidFill>
                        <a:schemeClr val="tx1"/>
                      </a:solidFill>
                      <a:effectLst/>
                      <a:latin typeface="Cambria Math" panose="02040503050406030204" pitchFamily="18" charset="0"/>
                      <a:ea typeface="+mn-ea"/>
                      <a:cs typeface="+mn-cs"/>
                    </a:rPr>
                    <m:t>𝜖</m:t>
                  </m:r>
                </m:oMath>
              </a14:m>
              <a:endParaRPr lang="de-DE"/>
            </a:p>
          </xdr:txBody>
        </xdr:sp>
      </mc:Choice>
      <mc:Fallback xmlns="">
        <xdr:sp macro="" textlink="">
          <xdr:nvSpPr>
            <xdr:cNvPr id="14" name="Rechteck 13"/>
            <xdr:cNvSpPr/>
          </xdr:nvSpPr>
          <xdr:spPr>
            <a:xfrm>
              <a:off x="234461" y="1614854"/>
              <a:ext cx="3018693" cy="279680"/>
            </a:xfrm>
            <a:prstGeom prst="rect">
              <a:avLst/>
            </a:prstGeom>
          </xdr:spPr>
          <xdr:txBody>
            <a:bodyPr wrap="square">
              <a:spAutoFit/>
            </a:bodyPr>
            <a:lstStyle>
              <a:defPPr>
                <a:defRPr lang="de-DE"/>
              </a:defPPr>
              <a:lvl1pPr algn="l" rtl="0" fontAlgn="base">
                <a:spcBef>
                  <a:spcPct val="0"/>
                </a:spcBef>
                <a:spcAft>
                  <a:spcPct val="0"/>
                </a:spcAft>
                <a:defRPr kern="1200">
                  <a:solidFill>
                    <a:schemeClr val="tx1"/>
                  </a:solidFill>
                  <a:latin typeface="Arial" charset="0"/>
                  <a:ea typeface="+mn-ea"/>
                  <a:cs typeface="+mn-cs"/>
                </a:defRPr>
              </a:lvl1pPr>
              <a:lvl2pPr marL="457200" algn="l" rtl="0" fontAlgn="base">
                <a:spcBef>
                  <a:spcPct val="0"/>
                </a:spcBef>
                <a:spcAft>
                  <a:spcPct val="0"/>
                </a:spcAft>
                <a:defRPr kern="1200">
                  <a:solidFill>
                    <a:schemeClr val="tx1"/>
                  </a:solidFill>
                  <a:latin typeface="Arial" charset="0"/>
                  <a:ea typeface="+mn-ea"/>
                  <a:cs typeface="+mn-cs"/>
                </a:defRPr>
              </a:lvl2pPr>
              <a:lvl3pPr marL="914400" algn="l" rtl="0" fontAlgn="base">
                <a:spcBef>
                  <a:spcPct val="0"/>
                </a:spcBef>
                <a:spcAft>
                  <a:spcPct val="0"/>
                </a:spcAft>
                <a:defRPr kern="1200">
                  <a:solidFill>
                    <a:schemeClr val="tx1"/>
                  </a:solidFill>
                  <a:latin typeface="Arial" charset="0"/>
                  <a:ea typeface="+mn-ea"/>
                  <a:cs typeface="+mn-cs"/>
                </a:defRPr>
              </a:lvl3pPr>
              <a:lvl4pPr marL="1371600" algn="l" rtl="0" fontAlgn="base">
                <a:spcBef>
                  <a:spcPct val="0"/>
                </a:spcBef>
                <a:spcAft>
                  <a:spcPct val="0"/>
                </a:spcAft>
                <a:defRPr kern="1200">
                  <a:solidFill>
                    <a:schemeClr val="tx1"/>
                  </a:solidFill>
                  <a:latin typeface="Arial" charset="0"/>
                  <a:ea typeface="+mn-ea"/>
                  <a:cs typeface="+mn-cs"/>
                </a:defRPr>
              </a:lvl4pPr>
              <a:lvl5pPr marL="1828800" algn="l" rtl="0" fontAlgn="base">
                <a:spcBef>
                  <a:spcPct val="0"/>
                </a:spcBef>
                <a:spcAft>
                  <a:spcPct val="0"/>
                </a:spcAft>
                <a:defRPr kern="1200">
                  <a:solidFill>
                    <a:schemeClr val="tx1"/>
                  </a:solidFill>
                  <a:latin typeface="Arial" charset="0"/>
                  <a:ea typeface="+mn-ea"/>
                  <a:cs typeface="+mn-cs"/>
                </a:defRPr>
              </a:lvl5pPr>
              <a:lvl6pPr marL="2286000" algn="l" defTabSz="914400" rtl="0" eaLnBrk="1" latinLnBrk="0" hangingPunct="1">
                <a:defRPr kern="1200">
                  <a:solidFill>
                    <a:schemeClr val="tx1"/>
                  </a:solidFill>
                  <a:latin typeface="Arial" charset="0"/>
                  <a:ea typeface="+mn-ea"/>
                  <a:cs typeface="+mn-cs"/>
                </a:defRPr>
              </a:lvl6pPr>
              <a:lvl7pPr marL="2743200" algn="l" defTabSz="914400" rtl="0" eaLnBrk="1" latinLnBrk="0" hangingPunct="1">
                <a:defRPr kern="1200">
                  <a:solidFill>
                    <a:schemeClr val="tx1"/>
                  </a:solidFill>
                  <a:latin typeface="Arial" charset="0"/>
                  <a:ea typeface="+mn-ea"/>
                  <a:cs typeface="+mn-cs"/>
                </a:defRPr>
              </a:lvl7pPr>
              <a:lvl8pPr marL="3200400" algn="l" defTabSz="914400" rtl="0" eaLnBrk="1" latinLnBrk="0" hangingPunct="1">
                <a:defRPr kern="1200">
                  <a:solidFill>
                    <a:schemeClr val="tx1"/>
                  </a:solidFill>
                  <a:latin typeface="Arial" charset="0"/>
                  <a:ea typeface="+mn-ea"/>
                  <a:cs typeface="+mn-cs"/>
                </a:defRPr>
              </a:lvl8pPr>
              <a:lvl9pPr marL="3657600" algn="l" defTabSz="914400" rtl="0" eaLnBrk="1" latinLnBrk="0" hangingPunct="1">
                <a:defRPr kern="1200">
                  <a:solidFill>
                    <a:schemeClr val="tx1"/>
                  </a:solidFill>
                  <a:latin typeface="Arial" charset="0"/>
                  <a:ea typeface="+mn-ea"/>
                  <a:cs typeface="+mn-cs"/>
                </a:defRPr>
              </a:lvl9pPr>
            </a:lstStyle>
            <a:p>
              <a:r>
                <a:rPr lang="de-DE" sz="1100" kern="1200">
                  <a:solidFill>
                    <a:schemeClr val="tx1"/>
                  </a:solidFill>
                  <a:effectLst/>
                  <a:ea typeface="+mn-ea"/>
                  <a:cs typeface="+mn-cs"/>
                </a:rPr>
                <a:t> </a:t>
              </a:r>
              <a:r>
                <a:rPr lang="de-DE" sz="1100" i="0" kern="1200">
                  <a:solidFill>
                    <a:schemeClr val="tx1"/>
                  </a:solidFill>
                  <a:effectLst/>
                  <a:latin typeface="Cambria Math" panose="02040503050406030204" pitchFamily="18" charset="0"/>
                  <a:ea typeface="+mn-ea"/>
                  <a:cs typeface="+mn-cs"/>
                </a:rPr>
                <a:t>𝑃</a:t>
              </a:r>
              <a:r>
                <a:rPr lang="de-DE" sz="1100" b="0" i="0" kern="1200">
                  <a:solidFill>
                    <a:schemeClr val="tx1"/>
                  </a:solidFill>
                  <a:effectLst/>
                  <a:latin typeface="Cambria Math" panose="02040503050406030204" pitchFamily="18" charset="0"/>
                  <a:ea typeface="+mn-ea"/>
                  <a:cs typeface="+mn-cs"/>
                </a:rPr>
                <a:t>𝑟𝑒𝑖𝑠_𝑇=𝜑∙(〖𝑃𝑟𝑒𝑖𝑠〗_</a:t>
              </a:r>
              <a:r>
                <a:rPr lang="de-DE" sz="1100" i="0" kern="1200">
                  <a:solidFill>
                    <a:schemeClr val="tx1"/>
                  </a:solidFill>
                  <a:effectLst/>
                  <a:latin typeface="Cambria Math" panose="02040503050406030204" pitchFamily="18" charset="0"/>
                  <a:ea typeface="+mn-ea"/>
                  <a:cs typeface="+mn-cs"/>
                </a:rPr>
                <a:t>𝑡</a:t>
              </a:r>
              <a:r>
                <a:rPr lang="de-DE" sz="1100" b="0" i="0" kern="1200">
                  <a:solidFill>
                    <a:schemeClr val="tx1"/>
                  </a:solidFill>
                  <a:effectLst/>
                  <a:latin typeface="Cambria Math" panose="02040503050406030204" pitchFamily="18" charset="0"/>
                  <a:ea typeface="+mn-ea"/>
                  <a:cs typeface="+mn-cs"/>
                </a:rPr>
                <a:t>−𝐿𝑁)+𝐿𝑁+𝜎∙𝜖</a:t>
              </a:r>
              <a:endParaRPr lang="de-DE"/>
            </a:p>
          </xdr:txBody>
        </xdr:sp>
      </mc:Fallback>
    </mc:AlternateContent>
    <xdr:clientData/>
  </xdr:twoCellAnchor>
  <xdr:twoCellAnchor>
    <xdr:from>
      <xdr:col>3</xdr:col>
      <xdr:colOff>197826</xdr:colOff>
      <xdr:row>9</xdr:row>
      <xdr:rowOff>206256</xdr:rowOff>
    </xdr:from>
    <xdr:to>
      <xdr:col>5</xdr:col>
      <xdr:colOff>102576</xdr:colOff>
      <xdr:row>10</xdr:row>
      <xdr:rowOff>4</xdr:rowOff>
    </xdr:to>
    <xdr:sp macro="" textlink="">
      <xdr:nvSpPr>
        <xdr:cNvPr id="15" name="Geschweifte Klammer rechts 14">
          <a:extLst>
            <a:ext uri="{FF2B5EF4-FFF2-40B4-BE49-F238E27FC236}">
              <a16:creationId xmlns:a16="http://schemas.microsoft.com/office/drawing/2014/main" id="{00000000-0008-0000-0000-00000F000000}"/>
            </a:ext>
          </a:extLst>
        </xdr:cNvPr>
        <xdr:cNvSpPr/>
      </xdr:nvSpPr>
      <xdr:spPr>
        <a:xfrm rot="5400000">
          <a:off x="2488039" y="2099716"/>
          <a:ext cx="116132" cy="1311519"/>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de-DE" sz="1100"/>
        </a:p>
      </xdr:txBody>
    </xdr:sp>
    <xdr:clientData/>
  </xdr:twoCellAnchor>
  <xdr:twoCellAnchor>
    <xdr:from>
      <xdr:col>5</xdr:col>
      <xdr:colOff>337041</xdr:colOff>
      <xdr:row>9</xdr:row>
      <xdr:rowOff>153507</xdr:rowOff>
    </xdr:from>
    <xdr:to>
      <xdr:col>6</xdr:col>
      <xdr:colOff>139211</xdr:colOff>
      <xdr:row>9</xdr:row>
      <xdr:rowOff>285750</xdr:rowOff>
    </xdr:to>
    <xdr:sp macro="" textlink="">
      <xdr:nvSpPr>
        <xdr:cNvPr id="16" name="Geschweifte Klammer rechts 15">
          <a:extLst>
            <a:ext uri="{FF2B5EF4-FFF2-40B4-BE49-F238E27FC236}">
              <a16:creationId xmlns:a16="http://schemas.microsoft.com/office/drawing/2014/main" id="{00000000-0008-0000-0000-000010000000}"/>
            </a:ext>
          </a:extLst>
        </xdr:cNvPr>
        <xdr:cNvSpPr/>
      </xdr:nvSpPr>
      <xdr:spPr>
        <a:xfrm rot="5400000" flipV="1">
          <a:off x="2318793" y="2553255"/>
          <a:ext cx="132243" cy="31505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de-DE" sz="1100"/>
        </a:p>
      </xdr:txBody>
    </xdr:sp>
    <xdr:clientData/>
  </xdr:twoCellAnchor>
  <xdr:twoCellAnchor>
    <xdr:from>
      <xdr:col>14</xdr:col>
      <xdr:colOff>14657</xdr:colOff>
      <xdr:row>12</xdr:row>
      <xdr:rowOff>53489</xdr:rowOff>
    </xdr:from>
    <xdr:to>
      <xdr:col>19</xdr:col>
      <xdr:colOff>725367</xdr:colOff>
      <xdr:row>24</xdr:row>
      <xdr:rowOff>58616</xdr:rowOff>
    </xdr:to>
    <xdr:graphicFrame macro="">
      <xdr:nvGraphicFramePr>
        <xdr:cNvPr id="19" name="Diagramm 18">
          <a:extLst>
            <a:ext uri="{FF2B5EF4-FFF2-40B4-BE49-F238E27FC236}">
              <a16:creationId xmlns:a16="http://schemas.microsoft.com/office/drawing/2014/main" id="{00000000-0008-0000-0000-00001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14654</xdr:colOff>
      <xdr:row>24</xdr:row>
      <xdr:rowOff>73269</xdr:rowOff>
    </xdr:from>
    <xdr:to>
      <xdr:col>19</xdr:col>
      <xdr:colOff>725364</xdr:colOff>
      <xdr:row>36</xdr:row>
      <xdr:rowOff>173646</xdr:rowOff>
    </xdr:to>
    <xdr:graphicFrame macro="">
      <xdr:nvGraphicFramePr>
        <xdr:cNvPr id="23" name="Diagramm 22">
          <a:extLst>
            <a:ext uri="{FF2B5EF4-FFF2-40B4-BE49-F238E27FC236}">
              <a16:creationId xmlns:a16="http://schemas.microsoft.com/office/drawing/2014/main" id="{00000000-0008-0000-0000-00001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123"/>
  <sheetViews>
    <sheetView showGridLines="0" tabSelected="1" topLeftCell="A4" zoomScale="130" zoomScaleNormal="130" workbookViewId="0">
      <selection activeCell="G14" sqref="G14"/>
    </sheetView>
  </sheetViews>
  <sheetFormatPr baseColWidth="10" defaultRowHeight="15" x14ac:dyDescent="0.25"/>
  <cols>
    <col min="1" max="1" width="11.42578125" customWidth="1"/>
    <col min="2" max="2" width="3.85546875" customWidth="1"/>
    <col min="3" max="3" width="7.28515625" bestFit="1" customWidth="1"/>
    <col min="4" max="4" width="6.7109375" customWidth="1"/>
    <col min="5" max="5" width="10.5703125" bestFit="1" customWidth="1"/>
    <col min="6" max="6" width="7.7109375" customWidth="1"/>
    <col min="7" max="7" width="13.140625" customWidth="1"/>
    <col min="8" max="8" width="5" customWidth="1"/>
    <col min="9" max="9" width="7.7109375" bestFit="1" customWidth="1"/>
    <col min="10" max="10" width="6.5703125" customWidth="1"/>
    <col min="11" max="13" width="9" customWidth="1"/>
    <col min="14" max="14" width="13.28515625" customWidth="1"/>
    <col min="15" max="15" width="6.5703125" bestFit="1" customWidth="1"/>
    <col min="16" max="16" width="6" customWidth="1"/>
    <col min="17" max="17" width="7" customWidth="1"/>
    <col min="18" max="18" width="7.5703125" customWidth="1"/>
    <col min="19" max="19" width="14.42578125" bestFit="1" customWidth="1"/>
  </cols>
  <sheetData>
    <row r="1" spans="2:25" ht="15.75" thickBot="1" x14ac:dyDescent="0.3">
      <c r="B1" s="27" t="s">
        <v>124</v>
      </c>
      <c r="C1" s="27"/>
      <c r="D1" s="27"/>
      <c r="E1" s="27"/>
      <c r="F1" s="27"/>
      <c r="G1" s="27"/>
      <c r="H1" s="27"/>
      <c r="I1" s="27"/>
      <c r="J1" s="27"/>
      <c r="K1" s="27"/>
      <c r="L1" s="27"/>
      <c r="M1" s="27"/>
      <c r="N1" s="27"/>
      <c r="O1" s="27"/>
      <c r="P1" s="27"/>
      <c r="Q1" s="27"/>
      <c r="R1" s="27"/>
      <c r="S1" s="27"/>
      <c r="T1" s="27"/>
      <c r="U1" s="27"/>
    </row>
    <row r="2" spans="2:25" ht="15.75" thickTop="1" x14ac:dyDescent="0.25">
      <c r="B2">
        <v>1</v>
      </c>
      <c r="C2" s="2" t="s">
        <v>127</v>
      </c>
      <c r="D2" s="2"/>
      <c r="E2" s="2"/>
      <c r="F2" s="2"/>
      <c r="G2" s="2"/>
      <c r="H2" s="2"/>
      <c r="I2" s="2"/>
      <c r="J2" s="2"/>
      <c r="K2" s="2"/>
      <c r="L2" s="2"/>
      <c r="M2" s="2"/>
      <c r="N2" s="2"/>
    </row>
    <row r="3" spans="2:25" x14ac:dyDescent="0.25">
      <c r="B3">
        <v>2</v>
      </c>
      <c r="C3" s="2" t="s">
        <v>126</v>
      </c>
      <c r="D3" s="2"/>
      <c r="E3" s="2"/>
      <c r="F3" s="2"/>
      <c r="G3" s="2"/>
      <c r="H3" s="2"/>
      <c r="I3" s="2"/>
      <c r="J3" s="2"/>
      <c r="K3" s="2"/>
      <c r="L3" s="2"/>
      <c r="M3" s="2"/>
      <c r="N3" s="2"/>
    </row>
    <row r="4" spans="2:25" x14ac:dyDescent="0.25">
      <c r="B4">
        <v>3</v>
      </c>
      <c r="C4" s="5" t="s">
        <v>128</v>
      </c>
      <c r="D4" s="2"/>
      <c r="E4" s="2"/>
      <c r="F4" s="2"/>
      <c r="G4" s="2"/>
      <c r="H4" s="2"/>
      <c r="I4" s="2"/>
      <c r="J4" s="2"/>
      <c r="K4" s="2"/>
      <c r="L4" s="2"/>
      <c r="M4" s="2"/>
      <c r="N4" s="2"/>
    </row>
    <row r="5" spans="2:25" x14ac:dyDescent="0.25">
      <c r="B5">
        <v>4</v>
      </c>
      <c r="C5" s="5" t="s">
        <v>129</v>
      </c>
      <c r="D5" s="2"/>
      <c r="E5" s="2"/>
      <c r="F5" s="2"/>
      <c r="G5" s="2"/>
      <c r="H5" s="2"/>
      <c r="I5" s="2"/>
      <c r="J5" s="2"/>
      <c r="K5" s="2"/>
      <c r="L5" s="2"/>
      <c r="M5" s="2"/>
      <c r="N5" s="2"/>
    </row>
    <row r="6" spans="2:25" x14ac:dyDescent="0.25">
      <c r="B6">
        <v>5</v>
      </c>
      <c r="C6" s="5" t="s">
        <v>130</v>
      </c>
      <c r="D6" s="2"/>
      <c r="E6" s="2"/>
      <c r="F6" s="2"/>
      <c r="G6" s="2"/>
      <c r="H6" s="2"/>
      <c r="I6" s="2"/>
      <c r="J6" s="2"/>
      <c r="K6" s="2"/>
      <c r="L6" s="2"/>
      <c r="M6" s="2"/>
      <c r="N6" s="2"/>
    </row>
    <row r="7" spans="2:25" x14ac:dyDescent="0.25">
      <c r="C7" s="2"/>
      <c r="D7" s="2"/>
      <c r="E7" s="2"/>
      <c r="F7" s="2"/>
      <c r="G7" s="2"/>
      <c r="H7" s="2"/>
      <c r="I7" s="2"/>
      <c r="J7" s="2"/>
      <c r="K7" s="2"/>
      <c r="L7" s="2"/>
      <c r="M7" s="2"/>
      <c r="N7" s="2"/>
    </row>
    <row r="8" spans="2:25" ht="15.75" thickBot="1" x14ac:dyDescent="0.3">
      <c r="C8" s="27" t="s">
        <v>112</v>
      </c>
      <c r="D8" s="27"/>
      <c r="E8" s="27"/>
      <c r="F8" s="27"/>
      <c r="G8" s="27"/>
      <c r="H8" s="2"/>
      <c r="I8" s="27" t="s">
        <v>115</v>
      </c>
      <c r="J8" s="27"/>
      <c r="K8" s="27"/>
      <c r="L8" s="2"/>
      <c r="M8" s="2"/>
      <c r="N8" s="2"/>
      <c r="O8" s="27" t="s">
        <v>123</v>
      </c>
      <c r="P8" s="27"/>
      <c r="Q8" s="27"/>
      <c r="R8" s="27"/>
      <c r="S8" s="27"/>
      <c r="T8" s="27"/>
    </row>
    <row r="9" spans="2:25" ht="16.5" thickTop="1" thickBot="1" x14ac:dyDescent="0.3">
      <c r="C9" s="6"/>
      <c r="D9" s="2"/>
      <c r="E9" s="2"/>
      <c r="F9" s="2"/>
      <c r="G9" s="2"/>
      <c r="H9" s="2"/>
      <c r="I9" s="2"/>
      <c r="J9" s="2"/>
      <c r="K9" s="2"/>
      <c r="L9" s="2"/>
      <c r="M9" s="2"/>
      <c r="N9" s="2"/>
      <c r="O9" s="20"/>
      <c r="P9" s="20"/>
      <c r="Q9" s="20"/>
      <c r="R9" s="15" t="s">
        <v>6</v>
      </c>
      <c r="S9" s="31" t="s">
        <v>119</v>
      </c>
      <c r="T9" s="31" t="s">
        <v>120</v>
      </c>
      <c r="U9" s="27" t="s">
        <v>122</v>
      </c>
    </row>
    <row r="10" spans="2:25" ht="25.5" customHeight="1" thickTop="1" x14ac:dyDescent="0.25">
      <c r="C10" s="2"/>
      <c r="D10" s="2"/>
      <c r="E10" s="2"/>
      <c r="F10" s="2"/>
      <c r="G10" s="2"/>
      <c r="H10" s="2"/>
      <c r="I10" s="2"/>
      <c r="J10" s="2"/>
      <c r="K10" s="2"/>
      <c r="L10" s="2"/>
      <c r="M10" s="2"/>
      <c r="N10" s="2"/>
      <c r="O10" s="5" t="s">
        <v>116</v>
      </c>
      <c r="P10" s="5"/>
      <c r="Q10" s="5"/>
      <c r="R10" s="42">
        <f>K22</f>
        <v>0.5</v>
      </c>
      <c r="S10" s="42">
        <f>L22</f>
        <v>5.5</v>
      </c>
      <c r="T10" s="42">
        <f>M22</f>
        <v>0</v>
      </c>
      <c r="U10" s="43">
        <f>(S10-T10)/(2*dx)</f>
        <v>0.55000000000000004</v>
      </c>
    </row>
    <row r="11" spans="2:25" ht="15.75" customHeight="1" x14ac:dyDescent="0.25">
      <c r="C11" s="2" t="s">
        <v>114</v>
      </c>
      <c r="E11" s="2"/>
      <c r="F11" s="2" t="s">
        <v>113</v>
      </c>
      <c r="G11" s="2"/>
      <c r="H11" s="2"/>
      <c r="J11" s="2"/>
      <c r="K11" s="2"/>
      <c r="L11" s="2"/>
      <c r="M11" s="2"/>
      <c r="N11" s="2"/>
      <c r="O11" s="5" t="s">
        <v>117</v>
      </c>
      <c r="P11" s="5"/>
      <c r="Q11" s="5"/>
      <c r="R11" s="42">
        <f>MAX(D22-K,0)</f>
        <v>0.5</v>
      </c>
      <c r="S11" s="42">
        <f>MAX(E22-K,0)</f>
        <v>5.5</v>
      </c>
      <c r="T11" s="42">
        <f>MAX(F22-K,0)</f>
        <v>0</v>
      </c>
    </row>
    <row r="12" spans="2:25" ht="15.75" thickBot="1" x14ac:dyDescent="0.3">
      <c r="C12" s="2"/>
      <c r="E12" s="2"/>
      <c r="F12" s="2"/>
      <c r="G12" s="2"/>
      <c r="H12" s="2"/>
      <c r="I12" s="2"/>
      <c r="J12" s="2"/>
      <c r="K12" s="2"/>
      <c r="L12" s="2"/>
      <c r="M12" s="2"/>
      <c r="N12" s="2"/>
      <c r="O12" s="5" t="s">
        <v>118</v>
      </c>
      <c r="P12" s="5"/>
      <c r="Q12" s="5"/>
      <c r="R12" s="42">
        <f>R10-R11</f>
        <v>0</v>
      </c>
      <c r="S12" s="42">
        <f t="shared" ref="S12:T12" si="0">S10-S11</f>
        <v>0</v>
      </c>
      <c r="T12" s="42">
        <f t="shared" si="0"/>
        <v>0</v>
      </c>
    </row>
    <row r="13" spans="2:25" x14ac:dyDescent="0.25">
      <c r="C13" s="47" t="s">
        <v>1</v>
      </c>
      <c r="D13" s="48"/>
      <c r="E13" s="49">
        <v>0</v>
      </c>
      <c r="F13" s="2"/>
      <c r="G13" s="2"/>
      <c r="H13" s="2"/>
      <c r="I13" s="2"/>
      <c r="J13" s="23"/>
      <c r="K13" s="2"/>
      <c r="L13" s="2"/>
      <c r="M13" s="2"/>
      <c r="N13" s="2"/>
    </row>
    <row r="14" spans="2:25" x14ac:dyDescent="0.25">
      <c r="C14" s="7" t="s">
        <v>2</v>
      </c>
      <c r="D14" s="8"/>
      <c r="E14" s="9">
        <v>0</v>
      </c>
      <c r="I14" s="2"/>
      <c r="J14" s="23"/>
    </row>
    <row r="15" spans="2:25" ht="15.75" thickBot="1" x14ac:dyDescent="0.3">
      <c r="C15" s="45" t="s">
        <v>125</v>
      </c>
      <c r="D15" s="46"/>
      <c r="E15" s="44">
        <v>41</v>
      </c>
      <c r="I15" s="2"/>
      <c r="J15" s="23"/>
      <c r="V15">
        <f t="shared" ref="V15:V19" si="1">V16-1</f>
        <v>34.49</v>
      </c>
      <c r="W15">
        <f t="shared" ref="W15:W26" si="2">MAX(0,V15-K)</f>
        <v>0</v>
      </c>
      <c r="X15">
        <f>1*(W15&gt;0)</f>
        <v>0</v>
      </c>
      <c r="Y15">
        <v>0</v>
      </c>
    </row>
    <row r="16" spans="2:25" ht="15.75" thickBot="1" x14ac:dyDescent="0.3">
      <c r="C16" s="10" t="s">
        <v>3</v>
      </c>
      <c r="D16" s="11"/>
      <c r="E16" s="12">
        <v>40</v>
      </c>
      <c r="I16" s="26" t="s">
        <v>0</v>
      </c>
      <c r="J16" s="4">
        <v>39.5</v>
      </c>
      <c r="L16" s="39" t="s">
        <v>121</v>
      </c>
      <c r="M16" s="40">
        <v>5</v>
      </c>
      <c r="V16">
        <f t="shared" si="1"/>
        <v>35.49</v>
      </c>
      <c r="W16">
        <f t="shared" si="2"/>
        <v>0</v>
      </c>
      <c r="X16">
        <f t="shared" ref="X16:X21" si="3">1*(W16&gt;0)</f>
        <v>0</v>
      </c>
      <c r="Y16">
        <v>0</v>
      </c>
    </row>
    <row r="17" spans="1:25" x14ac:dyDescent="0.25">
      <c r="E17" s="5"/>
      <c r="V17">
        <f t="shared" si="1"/>
        <v>36.49</v>
      </c>
      <c r="W17">
        <f t="shared" si="2"/>
        <v>0</v>
      </c>
      <c r="X17">
        <f t="shared" si="3"/>
        <v>0</v>
      </c>
      <c r="Y17">
        <v>0</v>
      </c>
    </row>
    <row r="18" spans="1:25" x14ac:dyDescent="0.25">
      <c r="V18">
        <f t="shared" si="1"/>
        <v>37.49</v>
      </c>
      <c r="W18">
        <f t="shared" si="2"/>
        <v>0</v>
      </c>
      <c r="X18">
        <f t="shared" si="3"/>
        <v>0</v>
      </c>
      <c r="Y18">
        <v>0</v>
      </c>
    </row>
    <row r="19" spans="1:25" ht="15.75" thickBot="1" x14ac:dyDescent="0.3">
      <c r="C19" s="52" t="s">
        <v>110</v>
      </c>
      <c r="D19" s="52"/>
      <c r="E19" s="52"/>
      <c r="F19" s="52"/>
      <c r="I19" s="51" t="s">
        <v>111</v>
      </c>
      <c r="J19" s="51"/>
      <c r="K19" s="51"/>
      <c r="L19" s="38"/>
      <c r="M19" s="38"/>
      <c r="V19">
        <f t="shared" si="1"/>
        <v>38.49</v>
      </c>
      <c r="W19">
        <f t="shared" si="2"/>
        <v>0</v>
      </c>
      <c r="X19">
        <f t="shared" si="3"/>
        <v>0</v>
      </c>
      <c r="Y19">
        <v>0</v>
      </c>
    </row>
    <row r="20" spans="1:25" ht="15.75" thickTop="1" x14ac:dyDescent="0.25">
      <c r="C20" s="36" t="s">
        <v>109</v>
      </c>
      <c r="D20" s="37">
        <f>MAX(Preis_T)</f>
        <v>40</v>
      </c>
      <c r="E20" s="37">
        <f>MAX(Preisup)</f>
        <v>45</v>
      </c>
      <c r="F20" s="37">
        <f>MAX(Preisdown)</f>
        <v>35</v>
      </c>
      <c r="I20" s="5" t="s">
        <v>109</v>
      </c>
      <c r="J20" s="2"/>
      <c r="K20" s="28">
        <f>MAX(CF)</f>
        <v>0.5</v>
      </c>
      <c r="L20" s="28">
        <f>MAX(CFup)</f>
        <v>5.5</v>
      </c>
      <c r="M20" s="28">
        <f>MAX(CFdown)</f>
        <v>0</v>
      </c>
      <c r="O20" s="50"/>
      <c r="P20" s="50"/>
      <c r="Q20" s="50"/>
      <c r="R20" s="50"/>
      <c r="S20" s="50"/>
      <c r="T20" s="50"/>
      <c r="V20">
        <f>V21-0.01</f>
        <v>39.49</v>
      </c>
      <c r="W20">
        <f t="shared" si="2"/>
        <v>0</v>
      </c>
      <c r="X20">
        <f t="shared" si="3"/>
        <v>0</v>
      </c>
      <c r="Y20">
        <v>0</v>
      </c>
    </row>
    <row r="21" spans="1:25" x14ac:dyDescent="0.25">
      <c r="C21" s="1" t="s">
        <v>108</v>
      </c>
      <c r="D21" s="24">
        <f>MIN(Preis_T)</f>
        <v>40</v>
      </c>
      <c r="E21" s="24">
        <f>MIN(Preisup)</f>
        <v>45</v>
      </c>
      <c r="F21" s="24">
        <f>MIN(Preisdown)</f>
        <v>35</v>
      </c>
      <c r="I21" s="2" t="s">
        <v>108</v>
      </c>
      <c r="J21" s="2"/>
      <c r="K21" s="29">
        <f>MIN(CF)</f>
        <v>0.5</v>
      </c>
      <c r="L21" s="29">
        <f>MIN(CFup)</f>
        <v>5.5</v>
      </c>
      <c r="M21" s="29">
        <f>MIN(CFdown)</f>
        <v>0</v>
      </c>
      <c r="O21" s="5"/>
      <c r="P21" s="5"/>
      <c r="Q21" s="5"/>
      <c r="R21" s="5"/>
      <c r="S21" s="5"/>
      <c r="T21" s="5"/>
      <c r="V21">
        <f>K</f>
        <v>39.5</v>
      </c>
      <c r="W21">
        <f t="shared" si="2"/>
        <v>0</v>
      </c>
      <c r="X21">
        <f t="shared" si="3"/>
        <v>0</v>
      </c>
      <c r="Y21">
        <v>0</v>
      </c>
    </row>
    <row r="22" spans="1:25" x14ac:dyDescent="0.25">
      <c r="C22" s="3" t="s">
        <v>4</v>
      </c>
      <c r="D22" s="25">
        <f>AVERAGE(D24:D123)</f>
        <v>40</v>
      </c>
      <c r="E22" s="25">
        <f>AVERAGE(Preisup)</f>
        <v>45</v>
      </c>
      <c r="F22" s="25">
        <f>AVERAGE(Preisdown)</f>
        <v>35</v>
      </c>
      <c r="I22" s="2" t="s">
        <v>4</v>
      </c>
      <c r="J22" s="2"/>
      <c r="K22" s="29">
        <f>AVERAGE(CF)</f>
        <v>0.5</v>
      </c>
      <c r="L22" s="41">
        <f>AVERAGE(CFup)</f>
        <v>5.5</v>
      </c>
      <c r="M22" s="41">
        <f>AVERAGE(CFdown)</f>
        <v>0</v>
      </c>
      <c r="O22" s="5"/>
      <c r="P22" s="5"/>
      <c r="Q22" s="5"/>
      <c r="R22" s="5"/>
      <c r="S22" s="5"/>
      <c r="T22" s="5"/>
      <c r="V22">
        <f>V21+0.01</f>
        <v>39.51</v>
      </c>
      <c r="W22">
        <f t="shared" si="2"/>
        <v>9.9999999999980105E-3</v>
      </c>
      <c r="Y22">
        <f>1*(W22&gt;0)</f>
        <v>1</v>
      </c>
    </row>
    <row r="23" spans="1:25" s="14" customFormat="1" ht="19.5" customHeight="1" thickBot="1" x14ac:dyDescent="0.3">
      <c r="A23" s="13" t="s">
        <v>131</v>
      </c>
      <c r="B23" s="13"/>
      <c r="C23" s="15" t="s">
        <v>5</v>
      </c>
      <c r="D23" s="15" t="s">
        <v>6</v>
      </c>
      <c r="E23" s="31" t="s">
        <v>119</v>
      </c>
      <c r="F23" s="31" t="s">
        <v>120</v>
      </c>
      <c r="I23" s="15" t="s">
        <v>7</v>
      </c>
      <c r="J23" s="15"/>
      <c r="K23" s="15" t="s">
        <v>6</v>
      </c>
      <c r="L23" s="31" t="s">
        <v>119</v>
      </c>
      <c r="M23" s="31" t="s">
        <v>120</v>
      </c>
      <c r="O23" s="5"/>
      <c r="P23" s="30"/>
      <c r="Q23" s="30"/>
      <c r="R23" s="30"/>
      <c r="S23" s="30"/>
      <c r="T23" s="5"/>
      <c r="V23">
        <f t="shared" ref="V23:V26" si="4">V22+1</f>
        <v>40.51</v>
      </c>
      <c r="W23">
        <f t="shared" si="2"/>
        <v>1.009999999999998</v>
      </c>
      <c r="X23"/>
      <c r="Y23">
        <f t="shared" ref="Y23:Y26" si="5">1*(W23&gt;0)</f>
        <v>1</v>
      </c>
    </row>
    <row r="24" spans="1:25" ht="15.75" thickTop="1" x14ac:dyDescent="0.25">
      <c r="A24" s="16">
        <v>1.03469300991786</v>
      </c>
      <c r="B24" s="16"/>
      <c r="C24" s="17">
        <v>1</v>
      </c>
      <c r="D24" s="21">
        <f t="shared" ref="D24" si="6">phi*(Preis_Tm1-niveau)+niveau+sigma*Zufall</f>
        <v>40</v>
      </c>
      <c r="E24" s="32">
        <f t="shared" ref="E24:E55" si="7">D24+dx</f>
        <v>45</v>
      </c>
      <c r="F24" s="32">
        <f t="shared" ref="F24:F55" si="8">D24-dx</f>
        <v>35</v>
      </c>
      <c r="I24" t="s">
        <v>8</v>
      </c>
      <c r="J24" s="18"/>
      <c r="K24" s="19">
        <f t="shared" ref="K24:K87" si="9">MAX(Preis_T-K,0)</f>
        <v>0.5</v>
      </c>
      <c r="L24" s="19">
        <f t="shared" ref="L24:L55" si="10">MAX(Preisup-K,0)</f>
        <v>5.5</v>
      </c>
      <c r="M24" s="19">
        <f t="shared" ref="M24:M55" si="11">MAX(Preisdown-K,0)</f>
        <v>0</v>
      </c>
      <c r="O24" s="30"/>
      <c r="P24" s="28"/>
      <c r="Q24" s="28"/>
      <c r="R24" s="33"/>
      <c r="S24" s="34"/>
      <c r="T24" s="35"/>
      <c r="V24">
        <f t="shared" si="4"/>
        <v>41.51</v>
      </c>
      <c r="W24">
        <f t="shared" si="2"/>
        <v>2.009999999999998</v>
      </c>
      <c r="Y24">
        <f t="shared" si="5"/>
        <v>1</v>
      </c>
    </row>
    <row r="25" spans="1:25" x14ac:dyDescent="0.25">
      <c r="A25" s="16">
        <v>0.72688513338323801</v>
      </c>
      <c r="B25" s="16"/>
      <c r="C25" s="17">
        <v>2</v>
      </c>
      <c r="D25" s="21">
        <f t="shared" ref="D25" si="12">phi*(Preis_Tm1-niveau)+niveau+sigma*Zufall</f>
        <v>40</v>
      </c>
      <c r="E25" s="32">
        <f t="shared" si="7"/>
        <v>45</v>
      </c>
      <c r="F25" s="32">
        <f t="shared" si="8"/>
        <v>35</v>
      </c>
      <c r="I25" s="14" t="s">
        <v>9</v>
      </c>
      <c r="J25" s="19"/>
      <c r="K25" s="19">
        <f t="shared" si="9"/>
        <v>0.5</v>
      </c>
      <c r="L25" s="19">
        <f t="shared" si="10"/>
        <v>5.5</v>
      </c>
      <c r="M25" s="19">
        <f t="shared" si="11"/>
        <v>0</v>
      </c>
      <c r="O25" s="30"/>
      <c r="P25" s="28"/>
      <c r="Q25" s="28"/>
      <c r="R25" s="33"/>
      <c r="S25" s="34"/>
      <c r="T25" s="35"/>
      <c r="V25">
        <f t="shared" si="4"/>
        <v>42.51</v>
      </c>
      <c r="W25">
        <f t="shared" si="2"/>
        <v>3.009999999999998</v>
      </c>
      <c r="Y25">
        <f t="shared" si="5"/>
        <v>1</v>
      </c>
    </row>
    <row r="26" spans="1:25" x14ac:dyDescent="0.25">
      <c r="A26" s="16">
        <v>-0.30344092478601598</v>
      </c>
      <c r="B26" s="16"/>
      <c r="C26" s="17">
        <v>3</v>
      </c>
      <c r="D26" s="21">
        <f t="shared" ref="D26" si="13">phi*(Preis_Tm1-niveau)+niveau+sigma*Zufall</f>
        <v>40</v>
      </c>
      <c r="E26" s="32">
        <f t="shared" si="7"/>
        <v>45</v>
      </c>
      <c r="F26" s="32">
        <f t="shared" si="8"/>
        <v>35</v>
      </c>
      <c r="I26" s="14" t="s">
        <v>10</v>
      </c>
      <c r="J26" s="18"/>
      <c r="K26" s="19">
        <f t="shared" si="9"/>
        <v>0.5</v>
      </c>
      <c r="L26" s="19">
        <f t="shared" si="10"/>
        <v>5.5</v>
      </c>
      <c r="M26" s="19">
        <f t="shared" si="11"/>
        <v>0</v>
      </c>
      <c r="O26" s="30"/>
      <c r="P26" s="28"/>
      <c r="Q26" s="28"/>
      <c r="R26" s="33"/>
      <c r="S26" s="34"/>
      <c r="T26" s="35"/>
      <c r="V26">
        <f t="shared" si="4"/>
        <v>43.51</v>
      </c>
      <c r="W26">
        <f t="shared" si="2"/>
        <v>4.009999999999998</v>
      </c>
      <c r="Y26">
        <f t="shared" si="5"/>
        <v>1</v>
      </c>
    </row>
    <row r="27" spans="1:25" x14ac:dyDescent="0.25">
      <c r="A27" s="16">
        <v>0.29387146709665801</v>
      </c>
      <c r="B27" s="16"/>
      <c r="C27" s="17">
        <v>4</v>
      </c>
      <c r="D27" s="21">
        <f t="shared" ref="D27" si="14">phi*(Preis_Tm1-niveau)+niveau+sigma*Zufall</f>
        <v>40</v>
      </c>
      <c r="E27" s="32">
        <f t="shared" si="7"/>
        <v>45</v>
      </c>
      <c r="F27" s="32">
        <f t="shared" si="8"/>
        <v>35</v>
      </c>
      <c r="I27" s="14" t="s">
        <v>11</v>
      </c>
      <c r="J27" s="18"/>
      <c r="K27" s="19">
        <f t="shared" si="9"/>
        <v>0.5</v>
      </c>
      <c r="L27" s="19">
        <f t="shared" si="10"/>
        <v>5.5</v>
      </c>
      <c r="M27" s="19">
        <f t="shared" si="11"/>
        <v>0</v>
      </c>
      <c r="O27" s="30"/>
      <c r="P27" s="28"/>
      <c r="Q27" s="28"/>
      <c r="R27" s="33"/>
      <c r="S27" s="34"/>
      <c r="T27" s="35"/>
    </row>
    <row r="28" spans="1:25" x14ac:dyDescent="0.25">
      <c r="A28" s="16">
        <v>-0.78728280375863802</v>
      </c>
      <c r="B28" s="16"/>
      <c r="C28" s="17">
        <v>5</v>
      </c>
      <c r="D28" s="21">
        <f t="shared" ref="D28" si="15">phi*(Preis_Tm1-niveau)+niveau+sigma*Zufall</f>
        <v>40</v>
      </c>
      <c r="E28" s="32">
        <f t="shared" si="7"/>
        <v>45</v>
      </c>
      <c r="F28" s="32">
        <f t="shared" si="8"/>
        <v>35</v>
      </c>
      <c r="I28" s="14" t="s">
        <v>12</v>
      </c>
      <c r="J28" s="18"/>
      <c r="K28" s="19">
        <f t="shared" si="9"/>
        <v>0.5</v>
      </c>
      <c r="L28" s="19">
        <f t="shared" si="10"/>
        <v>5.5</v>
      </c>
      <c r="M28" s="19">
        <f t="shared" si="11"/>
        <v>0</v>
      </c>
      <c r="O28" s="30"/>
      <c r="P28" s="28"/>
      <c r="Q28" s="28"/>
      <c r="R28" s="33"/>
      <c r="S28" s="34"/>
      <c r="T28" s="35"/>
    </row>
    <row r="29" spans="1:25" x14ac:dyDescent="0.25">
      <c r="A29" s="16">
        <v>0.88839563175764202</v>
      </c>
      <c r="B29" s="16"/>
      <c r="C29" s="17">
        <v>6</v>
      </c>
      <c r="D29" s="21">
        <f t="shared" ref="D29" si="16">phi*(Preis_Tm1-niveau)+niveau+sigma*Zufall</f>
        <v>40</v>
      </c>
      <c r="E29" s="32">
        <f t="shared" si="7"/>
        <v>45</v>
      </c>
      <c r="F29" s="32">
        <f t="shared" si="8"/>
        <v>35</v>
      </c>
      <c r="I29" s="14" t="s">
        <v>13</v>
      </c>
      <c r="J29" s="18"/>
      <c r="K29" s="19">
        <f t="shared" si="9"/>
        <v>0.5</v>
      </c>
      <c r="L29" s="19">
        <f t="shared" si="10"/>
        <v>5.5</v>
      </c>
      <c r="M29" s="19">
        <f t="shared" si="11"/>
        <v>0</v>
      </c>
      <c r="O29" s="30"/>
      <c r="P29" s="28"/>
      <c r="Q29" s="28"/>
      <c r="R29" s="33"/>
      <c r="S29" s="34"/>
      <c r="T29" s="35"/>
    </row>
    <row r="30" spans="1:25" x14ac:dyDescent="0.25">
      <c r="A30" s="16">
        <v>-1.14707010696915</v>
      </c>
      <c r="B30" s="16"/>
      <c r="C30" s="17">
        <v>7</v>
      </c>
      <c r="D30" s="21">
        <f t="shared" ref="D30" si="17">phi*(Preis_Tm1-niveau)+niveau+sigma*Zufall</f>
        <v>40</v>
      </c>
      <c r="E30" s="32">
        <f t="shared" si="7"/>
        <v>45</v>
      </c>
      <c r="F30" s="32">
        <f t="shared" si="8"/>
        <v>35</v>
      </c>
      <c r="I30" s="14" t="s">
        <v>14</v>
      </c>
      <c r="J30" s="18"/>
      <c r="K30" s="19">
        <f t="shared" si="9"/>
        <v>0.5</v>
      </c>
      <c r="L30" s="19">
        <f t="shared" si="10"/>
        <v>5.5</v>
      </c>
      <c r="M30" s="19">
        <f t="shared" si="11"/>
        <v>0</v>
      </c>
      <c r="O30" s="30"/>
      <c r="P30" s="28"/>
      <c r="Q30" s="28"/>
      <c r="R30" s="33"/>
      <c r="S30" s="34"/>
      <c r="T30" s="35"/>
    </row>
    <row r="31" spans="1:25" x14ac:dyDescent="0.25">
      <c r="A31" s="16">
        <v>-1.0688704581680299</v>
      </c>
      <c r="B31" s="16"/>
      <c r="C31" s="17">
        <v>8</v>
      </c>
      <c r="D31" s="21">
        <f t="shared" ref="D31" si="18">phi*(Preis_Tm1-niveau)+niveau+sigma*Zufall</f>
        <v>40</v>
      </c>
      <c r="E31" s="32">
        <f t="shared" si="7"/>
        <v>45</v>
      </c>
      <c r="F31" s="32">
        <f t="shared" si="8"/>
        <v>35</v>
      </c>
      <c r="I31" s="14" t="s">
        <v>15</v>
      </c>
      <c r="J31" s="18"/>
      <c r="K31" s="19">
        <f t="shared" si="9"/>
        <v>0.5</v>
      </c>
      <c r="L31" s="19">
        <f t="shared" si="10"/>
        <v>5.5</v>
      </c>
      <c r="M31" s="19">
        <f t="shared" si="11"/>
        <v>0</v>
      </c>
      <c r="O31" s="30"/>
      <c r="P31" s="28"/>
      <c r="Q31" s="28"/>
      <c r="R31" s="33"/>
      <c r="S31" s="34"/>
      <c r="T31" s="35"/>
    </row>
    <row r="32" spans="1:25" x14ac:dyDescent="0.25">
      <c r="A32" s="16">
        <v>-0.80949869442487599</v>
      </c>
      <c r="B32" s="16"/>
      <c r="C32" s="17">
        <v>9</v>
      </c>
      <c r="D32" s="21">
        <f t="shared" ref="D32" si="19">phi*(Preis_Tm1-niveau)+niveau+sigma*Zufall</f>
        <v>40</v>
      </c>
      <c r="E32" s="32">
        <f t="shared" si="7"/>
        <v>45</v>
      </c>
      <c r="F32" s="32">
        <f t="shared" si="8"/>
        <v>35</v>
      </c>
      <c r="I32" s="14" t="s">
        <v>16</v>
      </c>
      <c r="J32" s="18"/>
      <c r="K32" s="19">
        <f t="shared" si="9"/>
        <v>0.5</v>
      </c>
      <c r="L32" s="19">
        <f t="shared" si="10"/>
        <v>5.5</v>
      </c>
      <c r="M32" s="19">
        <f t="shared" si="11"/>
        <v>0</v>
      </c>
      <c r="O32" s="30"/>
      <c r="P32" s="28"/>
      <c r="Q32" s="28"/>
      <c r="R32" s="33"/>
      <c r="S32" s="34"/>
      <c r="T32" s="35"/>
    </row>
    <row r="33" spans="1:20" x14ac:dyDescent="0.25">
      <c r="A33" s="16">
        <v>-2.9442841619948998</v>
      </c>
      <c r="B33" s="16"/>
      <c r="C33" s="17">
        <v>10</v>
      </c>
      <c r="D33" s="21">
        <f t="shared" ref="D33" si="20">phi*(Preis_Tm1-niveau)+niveau+sigma*Zufall</f>
        <v>40</v>
      </c>
      <c r="E33" s="32">
        <f t="shared" si="7"/>
        <v>45</v>
      </c>
      <c r="F33" s="32">
        <f t="shared" si="8"/>
        <v>35</v>
      </c>
      <c r="I33" s="14" t="s">
        <v>17</v>
      </c>
      <c r="J33" s="18"/>
      <c r="K33" s="19">
        <f t="shared" si="9"/>
        <v>0.5</v>
      </c>
      <c r="L33" s="19">
        <f t="shared" si="10"/>
        <v>5.5</v>
      </c>
      <c r="M33" s="19">
        <f t="shared" si="11"/>
        <v>0</v>
      </c>
      <c r="O33" s="30"/>
      <c r="P33" s="28"/>
      <c r="Q33" s="28"/>
      <c r="R33" s="33"/>
      <c r="S33" s="34"/>
      <c r="T33" s="35"/>
    </row>
    <row r="34" spans="1:20" x14ac:dyDescent="0.25">
      <c r="A34" s="16">
        <v>1.4383802928150999</v>
      </c>
      <c r="B34" s="16"/>
      <c r="C34" s="17">
        <v>11</v>
      </c>
      <c r="D34" s="21">
        <f t="shared" ref="D34" si="21">phi*(Preis_Tm1-niveau)+niveau+sigma*Zufall</f>
        <v>40</v>
      </c>
      <c r="E34" s="32">
        <f t="shared" si="7"/>
        <v>45</v>
      </c>
      <c r="F34" s="32">
        <f t="shared" si="8"/>
        <v>35</v>
      </c>
      <c r="I34" s="14" t="s">
        <v>18</v>
      </c>
      <c r="J34" s="18"/>
      <c r="K34" s="19">
        <f t="shared" si="9"/>
        <v>0.5</v>
      </c>
      <c r="L34" s="19">
        <f t="shared" si="10"/>
        <v>5.5</v>
      </c>
      <c r="M34" s="19">
        <f t="shared" si="11"/>
        <v>0</v>
      </c>
      <c r="O34" s="30"/>
      <c r="P34" s="28"/>
      <c r="Q34" s="28"/>
      <c r="R34" s="33"/>
      <c r="S34" s="5"/>
      <c r="T34" s="5"/>
    </row>
    <row r="35" spans="1:20" x14ac:dyDescent="0.25">
      <c r="A35" s="16">
        <v>0.32519053945619802</v>
      </c>
      <c r="B35" s="16"/>
      <c r="C35" s="17">
        <v>12</v>
      </c>
      <c r="D35" s="21">
        <f t="shared" ref="D35" si="22">phi*(Preis_Tm1-niveau)+niveau+sigma*Zufall</f>
        <v>40</v>
      </c>
      <c r="E35" s="32">
        <f t="shared" si="7"/>
        <v>45</v>
      </c>
      <c r="F35" s="32">
        <f t="shared" si="8"/>
        <v>35</v>
      </c>
      <c r="I35" s="14" t="s">
        <v>19</v>
      </c>
      <c r="J35" s="18"/>
      <c r="K35" s="19">
        <f t="shared" si="9"/>
        <v>0.5</v>
      </c>
      <c r="L35" s="19">
        <f t="shared" si="10"/>
        <v>5.5</v>
      </c>
      <c r="M35" s="19">
        <f t="shared" si="11"/>
        <v>0</v>
      </c>
      <c r="O35" s="30"/>
      <c r="P35" s="28"/>
      <c r="Q35" s="28"/>
      <c r="R35" s="33"/>
      <c r="S35" s="5"/>
      <c r="T35" s="5"/>
    </row>
    <row r="36" spans="1:20" x14ac:dyDescent="0.25">
      <c r="A36" s="16">
        <v>-0.75492831916970304</v>
      </c>
      <c r="B36" s="16"/>
      <c r="C36" s="17">
        <v>13</v>
      </c>
      <c r="D36" s="21">
        <f t="shared" ref="D36" si="23">phi*(Preis_Tm1-niveau)+niveau+sigma*Zufall</f>
        <v>40</v>
      </c>
      <c r="E36" s="32">
        <f t="shared" si="7"/>
        <v>45</v>
      </c>
      <c r="F36" s="32">
        <f t="shared" si="8"/>
        <v>35</v>
      </c>
      <c r="I36" s="14" t="s">
        <v>20</v>
      </c>
      <c r="J36" s="18"/>
      <c r="K36" s="19">
        <f t="shared" si="9"/>
        <v>0.5</v>
      </c>
      <c r="L36" s="19">
        <f t="shared" si="10"/>
        <v>5.5</v>
      </c>
      <c r="M36" s="19">
        <f t="shared" si="11"/>
        <v>0</v>
      </c>
      <c r="O36" s="30"/>
      <c r="P36" s="28"/>
      <c r="Q36" s="28"/>
      <c r="R36" s="33"/>
      <c r="S36" s="5"/>
      <c r="T36" s="5"/>
    </row>
    <row r="37" spans="1:20" x14ac:dyDescent="0.25">
      <c r="A37" s="16">
        <v>1.3702985400952299</v>
      </c>
      <c r="B37" s="16"/>
      <c r="C37" s="17">
        <v>14</v>
      </c>
      <c r="D37" s="21">
        <f t="shared" ref="D37" si="24">phi*(Preis_Tm1-niveau)+niveau+sigma*Zufall</f>
        <v>40</v>
      </c>
      <c r="E37" s="32">
        <f t="shared" si="7"/>
        <v>45</v>
      </c>
      <c r="F37" s="32">
        <f t="shared" si="8"/>
        <v>35</v>
      </c>
      <c r="I37" s="14" t="s">
        <v>21</v>
      </c>
      <c r="J37" s="18"/>
      <c r="K37" s="19">
        <f t="shared" si="9"/>
        <v>0.5</v>
      </c>
      <c r="L37" s="19">
        <f t="shared" si="10"/>
        <v>5.5</v>
      </c>
      <c r="M37" s="19">
        <f t="shared" si="11"/>
        <v>0</v>
      </c>
      <c r="O37" s="30"/>
      <c r="P37" s="28"/>
      <c r="Q37" s="28"/>
      <c r="R37" s="33"/>
      <c r="S37" s="5"/>
      <c r="T37" s="5"/>
    </row>
    <row r="38" spans="1:20" x14ac:dyDescent="0.25">
      <c r="A38" s="16">
        <v>-1.7115164188537</v>
      </c>
      <c r="B38" s="16"/>
      <c r="C38" s="17">
        <v>15</v>
      </c>
      <c r="D38" s="21">
        <f t="shared" ref="D38" si="25">phi*(Preis_Tm1-niveau)+niveau+sigma*Zufall</f>
        <v>40</v>
      </c>
      <c r="E38" s="32">
        <f t="shared" si="7"/>
        <v>45</v>
      </c>
      <c r="F38" s="32">
        <f t="shared" si="8"/>
        <v>35</v>
      </c>
      <c r="I38" s="14" t="s">
        <v>22</v>
      </c>
      <c r="J38" s="18"/>
      <c r="K38" s="19">
        <f t="shared" si="9"/>
        <v>0.5</v>
      </c>
      <c r="L38" s="19">
        <f t="shared" si="10"/>
        <v>5.5</v>
      </c>
      <c r="M38" s="19">
        <f t="shared" si="11"/>
        <v>0</v>
      </c>
      <c r="O38" s="30"/>
      <c r="P38" s="28"/>
      <c r="Q38" s="28"/>
      <c r="R38" s="33"/>
      <c r="S38" s="5"/>
      <c r="T38" s="5"/>
    </row>
    <row r="39" spans="1:20" x14ac:dyDescent="0.25">
      <c r="A39" s="16">
        <v>-0.102242446085491</v>
      </c>
      <c r="B39" s="16"/>
      <c r="C39" s="17">
        <v>16</v>
      </c>
      <c r="D39" s="21">
        <f t="shared" ref="D39" si="26">phi*(Preis_Tm1-niveau)+niveau+sigma*Zufall</f>
        <v>40</v>
      </c>
      <c r="E39" s="32">
        <f t="shared" si="7"/>
        <v>45</v>
      </c>
      <c r="F39" s="32">
        <f t="shared" si="8"/>
        <v>35</v>
      </c>
      <c r="I39" s="14" t="s">
        <v>23</v>
      </c>
      <c r="J39" s="18"/>
      <c r="K39" s="19">
        <f t="shared" si="9"/>
        <v>0.5</v>
      </c>
      <c r="L39" s="19">
        <f t="shared" si="10"/>
        <v>5.5</v>
      </c>
      <c r="M39" s="19">
        <f t="shared" si="11"/>
        <v>0</v>
      </c>
      <c r="O39" s="17"/>
      <c r="P39" s="21"/>
      <c r="Q39" s="21"/>
      <c r="R39" s="22"/>
    </row>
    <row r="40" spans="1:20" x14ac:dyDescent="0.25">
      <c r="A40" s="16">
        <v>-0.241447041607358</v>
      </c>
      <c r="B40" s="16"/>
      <c r="C40" s="17">
        <v>17</v>
      </c>
      <c r="D40" s="21">
        <f t="shared" ref="D40" si="27">phi*(Preis_Tm1-niveau)+niveau+sigma*Zufall</f>
        <v>40</v>
      </c>
      <c r="E40" s="32">
        <f t="shared" si="7"/>
        <v>45</v>
      </c>
      <c r="F40" s="32">
        <f t="shared" si="8"/>
        <v>35</v>
      </c>
      <c r="I40" s="14" t="s">
        <v>24</v>
      </c>
      <c r="J40" s="18"/>
      <c r="K40" s="19">
        <f t="shared" si="9"/>
        <v>0.5</v>
      </c>
      <c r="L40" s="19">
        <f t="shared" si="10"/>
        <v>5.5</v>
      </c>
      <c r="M40" s="19">
        <f t="shared" si="11"/>
        <v>0</v>
      </c>
      <c r="O40" s="17"/>
      <c r="P40" s="21"/>
      <c r="Q40" s="21"/>
      <c r="R40" s="22"/>
    </row>
    <row r="41" spans="1:20" x14ac:dyDescent="0.25">
      <c r="A41" s="16">
        <v>0.31920673916550202</v>
      </c>
      <c r="B41" s="16"/>
      <c r="C41" s="17">
        <v>18</v>
      </c>
      <c r="D41" s="21">
        <f t="shared" ref="D41" si="28">phi*(Preis_Tm1-niveau)+niveau+sigma*Zufall</f>
        <v>40</v>
      </c>
      <c r="E41" s="32">
        <f t="shared" si="7"/>
        <v>45</v>
      </c>
      <c r="F41" s="32">
        <f t="shared" si="8"/>
        <v>35</v>
      </c>
      <c r="I41" s="14" t="s">
        <v>25</v>
      </c>
      <c r="J41" s="18"/>
      <c r="K41" s="19">
        <f t="shared" si="9"/>
        <v>0.5</v>
      </c>
      <c r="L41" s="19">
        <f t="shared" si="10"/>
        <v>5.5</v>
      </c>
      <c r="M41" s="19">
        <f t="shared" si="11"/>
        <v>0</v>
      </c>
      <c r="O41" s="17"/>
      <c r="P41" s="21"/>
      <c r="Q41" s="21"/>
      <c r="R41" s="22"/>
    </row>
    <row r="42" spans="1:20" x14ac:dyDescent="0.25">
      <c r="A42" s="16">
        <v>0.31285859663742799</v>
      </c>
      <c r="B42" s="16"/>
      <c r="C42" s="17">
        <v>19</v>
      </c>
      <c r="D42" s="21">
        <f t="shared" ref="D42" si="29">phi*(Preis_Tm1-niveau)+niveau+sigma*Zufall</f>
        <v>40</v>
      </c>
      <c r="E42" s="32">
        <f t="shared" si="7"/>
        <v>45</v>
      </c>
      <c r="F42" s="32">
        <f t="shared" si="8"/>
        <v>35</v>
      </c>
      <c r="I42" s="14" t="s">
        <v>26</v>
      </c>
      <c r="J42" s="18"/>
      <c r="K42" s="19">
        <f t="shared" si="9"/>
        <v>0.5</v>
      </c>
      <c r="L42" s="19">
        <f t="shared" si="10"/>
        <v>5.5</v>
      </c>
      <c r="M42" s="19">
        <f t="shared" si="11"/>
        <v>0</v>
      </c>
      <c r="O42" s="17"/>
      <c r="P42" s="21"/>
      <c r="Q42" s="21"/>
      <c r="R42" s="22"/>
    </row>
    <row r="43" spans="1:20" x14ac:dyDescent="0.25">
      <c r="A43" s="16">
        <v>-0.86487991732445701</v>
      </c>
      <c r="B43" s="16"/>
      <c r="C43" s="17">
        <v>20</v>
      </c>
      <c r="D43" s="21">
        <f t="shared" ref="D43" si="30">phi*(Preis_Tm1-niveau)+niveau+sigma*Zufall</f>
        <v>40</v>
      </c>
      <c r="E43" s="32">
        <f t="shared" si="7"/>
        <v>45</v>
      </c>
      <c r="F43" s="32">
        <f t="shared" si="8"/>
        <v>35</v>
      </c>
      <c r="I43" s="14" t="s">
        <v>27</v>
      </c>
      <c r="J43" s="18"/>
      <c r="K43" s="19">
        <f t="shared" si="9"/>
        <v>0.5</v>
      </c>
      <c r="L43" s="19">
        <f t="shared" si="10"/>
        <v>5.5</v>
      </c>
      <c r="M43" s="19">
        <f t="shared" si="11"/>
        <v>0</v>
      </c>
      <c r="O43" s="17"/>
      <c r="P43" s="21"/>
      <c r="Q43" s="21"/>
      <c r="R43" s="22"/>
    </row>
    <row r="44" spans="1:20" x14ac:dyDescent="0.25">
      <c r="A44" s="16">
        <v>-3.00512961962686E-2</v>
      </c>
      <c r="B44" s="16"/>
      <c r="C44" s="17">
        <v>21</v>
      </c>
      <c r="D44" s="21">
        <f t="shared" ref="D44" si="31">phi*(Preis_Tm1-niveau)+niveau+sigma*Zufall</f>
        <v>40</v>
      </c>
      <c r="E44" s="32">
        <f t="shared" si="7"/>
        <v>45</v>
      </c>
      <c r="F44" s="32">
        <f t="shared" si="8"/>
        <v>35</v>
      </c>
      <c r="I44" s="14" t="s">
        <v>28</v>
      </c>
      <c r="J44" s="18"/>
      <c r="K44" s="19">
        <f t="shared" si="9"/>
        <v>0.5</v>
      </c>
      <c r="L44" s="19">
        <f t="shared" si="10"/>
        <v>5.5</v>
      </c>
      <c r="M44" s="19">
        <f t="shared" si="11"/>
        <v>0</v>
      </c>
    </row>
    <row r="45" spans="1:20" x14ac:dyDescent="0.25">
      <c r="A45" s="16">
        <v>-0.164879019209038</v>
      </c>
      <c r="B45" s="16"/>
      <c r="C45" s="17">
        <v>22</v>
      </c>
      <c r="D45" s="21">
        <f t="shared" ref="D45" si="32">phi*(Preis_Tm1-niveau)+niveau+sigma*Zufall</f>
        <v>40</v>
      </c>
      <c r="E45" s="32">
        <f t="shared" si="7"/>
        <v>45</v>
      </c>
      <c r="F45" s="32">
        <f t="shared" si="8"/>
        <v>35</v>
      </c>
      <c r="I45" s="14" t="s">
        <v>29</v>
      </c>
      <c r="J45" s="18"/>
      <c r="K45" s="19">
        <f t="shared" si="9"/>
        <v>0.5</v>
      </c>
      <c r="L45" s="19">
        <f t="shared" si="10"/>
        <v>5.5</v>
      </c>
      <c r="M45" s="19">
        <f t="shared" si="11"/>
        <v>0</v>
      </c>
    </row>
    <row r="46" spans="1:20" x14ac:dyDescent="0.25">
      <c r="A46" s="16">
        <v>0.62770728752872695</v>
      </c>
      <c r="B46" s="16"/>
      <c r="C46" s="17">
        <v>23</v>
      </c>
      <c r="D46" s="21">
        <f t="shared" ref="D46" si="33">phi*(Preis_Tm1-niveau)+niveau+sigma*Zufall</f>
        <v>40</v>
      </c>
      <c r="E46" s="32">
        <f t="shared" si="7"/>
        <v>45</v>
      </c>
      <c r="F46" s="32">
        <f t="shared" si="8"/>
        <v>35</v>
      </c>
      <c r="I46" s="14" t="s">
        <v>30</v>
      </c>
      <c r="J46" s="18"/>
      <c r="K46" s="19">
        <f t="shared" si="9"/>
        <v>0.5</v>
      </c>
      <c r="L46" s="19">
        <f t="shared" si="10"/>
        <v>5.5</v>
      </c>
      <c r="M46" s="19">
        <f t="shared" si="11"/>
        <v>0</v>
      </c>
    </row>
    <row r="47" spans="1:20" x14ac:dyDescent="0.25">
      <c r="A47" s="16">
        <v>1.09326566903948</v>
      </c>
      <c r="B47" s="16"/>
      <c r="C47" s="17">
        <v>24</v>
      </c>
      <c r="D47" s="21">
        <f t="shared" ref="D47" si="34">phi*(Preis_Tm1-niveau)+niveau+sigma*Zufall</f>
        <v>40</v>
      </c>
      <c r="E47" s="32">
        <f t="shared" si="7"/>
        <v>45</v>
      </c>
      <c r="F47" s="32">
        <f t="shared" si="8"/>
        <v>35</v>
      </c>
      <c r="I47" s="14" t="s">
        <v>31</v>
      </c>
      <c r="J47" s="18"/>
      <c r="K47" s="19">
        <f t="shared" si="9"/>
        <v>0.5</v>
      </c>
      <c r="L47" s="19">
        <f t="shared" si="10"/>
        <v>5.5</v>
      </c>
      <c r="M47" s="19">
        <f t="shared" si="11"/>
        <v>0</v>
      </c>
    </row>
    <row r="48" spans="1:20" x14ac:dyDescent="0.25">
      <c r="A48" s="16">
        <v>1.1092732976144</v>
      </c>
      <c r="B48" s="16"/>
      <c r="C48" s="17">
        <v>25</v>
      </c>
      <c r="D48" s="21">
        <f t="shared" ref="D48" si="35">phi*(Preis_Tm1-niveau)+niveau+sigma*Zufall</f>
        <v>40</v>
      </c>
      <c r="E48" s="32">
        <f t="shared" si="7"/>
        <v>45</v>
      </c>
      <c r="F48" s="32">
        <f t="shared" si="8"/>
        <v>35</v>
      </c>
      <c r="I48" s="14" t="s">
        <v>32</v>
      </c>
      <c r="J48" s="18"/>
      <c r="K48" s="19">
        <f t="shared" si="9"/>
        <v>0.5</v>
      </c>
      <c r="L48" s="19">
        <f t="shared" si="10"/>
        <v>5.5</v>
      </c>
      <c r="M48" s="19">
        <f t="shared" si="11"/>
        <v>0</v>
      </c>
    </row>
    <row r="49" spans="1:13" x14ac:dyDescent="0.25">
      <c r="A49" s="16">
        <v>-0.86365282198871396</v>
      </c>
      <c r="B49" s="16"/>
      <c r="C49" s="17">
        <v>26</v>
      </c>
      <c r="D49" s="21">
        <f t="shared" ref="D49" si="36">phi*(Preis_Tm1-niveau)+niveau+sigma*Zufall</f>
        <v>40</v>
      </c>
      <c r="E49" s="32">
        <f t="shared" si="7"/>
        <v>45</v>
      </c>
      <c r="F49" s="32">
        <f t="shared" si="8"/>
        <v>35</v>
      </c>
      <c r="I49" s="14" t="s">
        <v>33</v>
      </c>
      <c r="J49" s="18"/>
      <c r="K49" s="19">
        <f t="shared" si="9"/>
        <v>0.5</v>
      </c>
      <c r="L49" s="19">
        <f t="shared" si="10"/>
        <v>5.5</v>
      </c>
      <c r="M49" s="19">
        <f t="shared" si="11"/>
        <v>0</v>
      </c>
    </row>
    <row r="50" spans="1:13" x14ac:dyDescent="0.25">
      <c r="A50" s="16">
        <v>7.7359091130424898E-2</v>
      </c>
      <c r="B50" s="16"/>
      <c r="C50" s="17">
        <v>27</v>
      </c>
      <c r="D50" s="21">
        <f t="shared" ref="D50" si="37">phi*(Preis_Tm1-niveau)+niveau+sigma*Zufall</f>
        <v>40</v>
      </c>
      <c r="E50" s="32">
        <f t="shared" si="7"/>
        <v>45</v>
      </c>
      <c r="F50" s="32">
        <f t="shared" si="8"/>
        <v>35</v>
      </c>
      <c r="I50" s="14" t="s">
        <v>34</v>
      </c>
      <c r="J50" s="18"/>
      <c r="K50" s="19">
        <f t="shared" si="9"/>
        <v>0.5</v>
      </c>
      <c r="L50" s="19">
        <f t="shared" si="10"/>
        <v>5.5</v>
      </c>
      <c r="M50" s="19">
        <f t="shared" si="11"/>
        <v>0</v>
      </c>
    </row>
    <row r="51" spans="1:13" x14ac:dyDescent="0.25">
      <c r="A51" s="16">
        <v>-1.2141170436154101</v>
      </c>
      <c r="B51" s="16"/>
      <c r="C51" s="17">
        <v>28</v>
      </c>
      <c r="D51" s="21">
        <f t="shared" ref="D51" si="38">phi*(Preis_Tm1-niveau)+niveau+sigma*Zufall</f>
        <v>40</v>
      </c>
      <c r="E51" s="32">
        <f t="shared" si="7"/>
        <v>45</v>
      </c>
      <c r="F51" s="32">
        <f t="shared" si="8"/>
        <v>35</v>
      </c>
      <c r="I51" s="14" t="s">
        <v>35</v>
      </c>
      <c r="J51" s="18"/>
      <c r="K51" s="19">
        <f t="shared" si="9"/>
        <v>0.5</v>
      </c>
      <c r="L51" s="19">
        <f t="shared" si="10"/>
        <v>5.5</v>
      </c>
      <c r="M51" s="19">
        <f t="shared" si="11"/>
        <v>0</v>
      </c>
    </row>
    <row r="52" spans="1:13" x14ac:dyDescent="0.25">
      <c r="A52" s="16">
        <v>-1.1135007414867599</v>
      </c>
      <c r="B52" s="16"/>
      <c r="C52" s="17">
        <v>29</v>
      </c>
      <c r="D52" s="21">
        <f t="shared" ref="D52" si="39">phi*(Preis_Tm1-niveau)+niveau+sigma*Zufall</f>
        <v>40</v>
      </c>
      <c r="E52" s="32">
        <f t="shared" si="7"/>
        <v>45</v>
      </c>
      <c r="F52" s="32">
        <f t="shared" si="8"/>
        <v>35</v>
      </c>
      <c r="I52" s="14" t="s">
        <v>36</v>
      </c>
      <c r="J52" s="18"/>
      <c r="K52" s="19">
        <f t="shared" si="9"/>
        <v>0.5</v>
      </c>
      <c r="L52" s="19">
        <f t="shared" si="10"/>
        <v>5.5</v>
      </c>
      <c r="M52" s="19">
        <f t="shared" si="11"/>
        <v>0</v>
      </c>
    </row>
    <row r="53" spans="1:13" x14ac:dyDescent="0.25">
      <c r="A53" s="16">
        <v>-6.8493281033480602E-3</v>
      </c>
      <c r="B53" s="16"/>
      <c r="C53" s="17">
        <v>30</v>
      </c>
      <c r="D53" s="21">
        <f t="shared" ref="D53" si="40">phi*(Preis_Tm1-niveau)+niveau+sigma*Zufall</f>
        <v>40</v>
      </c>
      <c r="E53" s="32">
        <f t="shared" si="7"/>
        <v>45</v>
      </c>
      <c r="F53" s="32">
        <f t="shared" si="8"/>
        <v>35</v>
      </c>
      <c r="I53" s="14" t="s">
        <v>37</v>
      </c>
      <c r="J53" s="18"/>
      <c r="K53" s="19">
        <f t="shared" si="9"/>
        <v>0.5</v>
      </c>
      <c r="L53" s="19">
        <f t="shared" si="10"/>
        <v>5.5</v>
      </c>
      <c r="M53" s="19">
        <f t="shared" si="11"/>
        <v>0</v>
      </c>
    </row>
    <row r="54" spans="1:13" x14ac:dyDescent="0.25">
      <c r="A54" s="16">
        <v>1.5326303082847501</v>
      </c>
      <c r="B54" s="16"/>
      <c r="C54" s="17">
        <v>31</v>
      </c>
      <c r="D54" s="21">
        <f t="shared" ref="D54" si="41">phi*(Preis_Tm1-niveau)+niveau+sigma*Zufall</f>
        <v>40</v>
      </c>
      <c r="E54" s="32">
        <f t="shared" si="7"/>
        <v>45</v>
      </c>
      <c r="F54" s="32">
        <f t="shared" si="8"/>
        <v>35</v>
      </c>
      <c r="I54" s="14" t="s">
        <v>38</v>
      </c>
      <c r="J54" s="18"/>
      <c r="K54" s="19">
        <f t="shared" si="9"/>
        <v>0.5</v>
      </c>
      <c r="L54" s="19">
        <f t="shared" si="10"/>
        <v>5.5</v>
      </c>
      <c r="M54" s="19">
        <f t="shared" si="11"/>
        <v>0</v>
      </c>
    </row>
    <row r="55" spans="1:13" x14ac:dyDescent="0.25">
      <c r="A55" s="16">
        <v>-0.76966591375368199</v>
      </c>
      <c r="B55" s="16"/>
      <c r="C55" s="17">
        <v>32</v>
      </c>
      <c r="D55" s="21">
        <f t="shared" ref="D55" si="42">phi*(Preis_Tm1-niveau)+niveau+sigma*Zufall</f>
        <v>40</v>
      </c>
      <c r="E55" s="32">
        <f t="shared" si="7"/>
        <v>45</v>
      </c>
      <c r="F55" s="32">
        <f t="shared" si="8"/>
        <v>35</v>
      </c>
      <c r="I55" s="14" t="s">
        <v>39</v>
      </c>
      <c r="J55" s="18"/>
      <c r="K55" s="19">
        <f t="shared" si="9"/>
        <v>0.5</v>
      </c>
      <c r="L55" s="19">
        <f t="shared" si="10"/>
        <v>5.5</v>
      </c>
      <c r="M55" s="19">
        <f t="shared" si="11"/>
        <v>0</v>
      </c>
    </row>
    <row r="56" spans="1:13" x14ac:dyDescent="0.25">
      <c r="A56" s="16">
        <v>0.37137881276005802</v>
      </c>
      <c r="B56" s="16"/>
      <c r="C56" s="17">
        <v>33</v>
      </c>
      <c r="D56" s="21">
        <f t="shared" ref="D56" si="43">phi*(Preis_Tm1-niveau)+niveau+sigma*Zufall</f>
        <v>40</v>
      </c>
      <c r="E56" s="32">
        <f t="shared" ref="E56:E87" si="44">D56+dx</f>
        <v>45</v>
      </c>
      <c r="F56" s="32">
        <f t="shared" ref="F56:F87" si="45">D56-dx</f>
        <v>35</v>
      </c>
      <c r="I56" s="14" t="s">
        <v>40</v>
      </c>
      <c r="J56" s="18"/>
      <c r="K56" s="19">
        <f t="shared" si="9"/>
        <v>0.5</v>
      </c>
      <c r="L56" s="19">
        <f t="shared" ref="L56:L87" si="46">MAX(Preisup-K,0)</f>
        <v>5.5</v>
      </c>
      <c r="M56" s="19">
        <f t="shared" ref="M56:M87" si="47">MAX(Preisdown-K,0)</f>
        <v>0</v>
      </c>
    </row>
    <row r="57" spans="1:13" x14ac:dyDescent="0.25">
      <c r="A57" s="16">
        <v>-0.22558440227125201</v>
      </c>
      <c r="B57" s="16"/>
      <c r="C57" s="17">
        <v>34</v>
      </c>
      <c r="D57" s="21">
        <f t="shared" ref="D57" si="48">phi*(Preis_Tm1-niveau)+niveau+sigma*Zufall</f>
        <v>40</v>
      </c>
      <c r="E57" s="32">
        <f t="shared" si="44"/>
        <v>45</v>
      </c>
      <c r="F57" s="32">
        <f t="shared" si="45"/>
        <v>35</v>
      </c>
      <c r="I57" s="14" t="s">
        <v>41</v>
      </c>
      <c r="J57" s="18"/>
      <c r="K57" s="19">
        <f t="shared" si="9"/>
        <v>0.5</v>
      </c>
      <c r="L57" s="19">
        <f t="shared" si="46"/>
        <v>5.5</v>
      </c>
      <c r="M57" s="19">
        <f t="shared" si="47"/>
        <v>0</v>
      </c>
    </row>
    <row r="58" spans="1:13" x14ac:dyDescent="0.25">
      <c r="A58" s="16">
        <v>1.1173561388144699</v>
      </c>
      <c r="B58" s="16"/>
      <c r="C58" s="17">
        <v>35</v>
      </c>
      <c r="D58" s="21">
        <f t="shared" ref="D58" si="49">phi*(Preis_Tm1-niveau)+niveau+sigma*Zufall</f>
        <v>40</v>
      </c>
      <c r="E58" s="32">
        <f t="shared" si="44"/>
        <v>45</v>
      </c>
      <c r="F58" s="32">
        <f t="shared" si="45"/>
        <v>35</v>
      </c>
      <c r="I58" s="14" t="s">
        <v>42</v>
      </c>
      <c r="J58" s="18"/>
      <c r="K58" s="19">
        <f t="shared" si="9"/>
        <v>0.5</v>
      </c>
      <c r="L58" s="19">
        <f t="shared" si="46"/>
        <v>5.5</v>
      </c>
      <c r="M58" s="19">
        <f t="shared" si="47"/>
        <v>0</v>
      </c>
    </row>
    <row r="59" spans="1:13" x14ac:dyDescent="0.25">
      <c r="A59" s="16">
        <v>-1.08906429505224</v>
      </c>
      <c r="B59" s="16"/>
      <c r="C59" s="17">
        <v>36</v>
      </c>
      <c r="D59" s="21">
        <f t="shared" ref="D59" si="50">phi*(Preis_Tm1-niveau)+niveau+sigma*Zufall</f>
        <v>40</v>
      </c>
      <c r="E59" s="32">
        <f t="shared" si="44"/>
        <v>45</v>
      </c>
      <c r="F59" s="32">
        <f t="shared" si="45"/>
        <v>35</v>
      </c>
      <c r="I59" s="14" t="s">
        <v>43</v>
      </c>
      <c r="J59" s="18"/>
      <c r="K59" s="19">
        <f t="shared" si="9"/>
        <v>0.5</v>
      </c>
      <c r="L59" s="19">
        <f t="shared" si="46"/>
        <v>5.5</v>
      </c>
      <c r="M59" s="19">
        <f t="shared" si="47"/>
        <v>0</v>
      </c>
    </row>
    <row r="60" spans="1:13" x14ac:dyDescent="0.25">
      <c r="A60" s="16">
        <v>3.2557464164973501E-2</v>
      </c>
      <c r="B60" s="16"/>
      <c r="C60" s="17">
        <v>37</v>
      </c>
      <c r="D60" s="21">
        <f t="shared" ref="D60" si="51">phi*(Preis_Tm1-niveau)+niveau+sigma*Zufall</f>
        <v>40</v>
      </c>
      <c r="E60" s="32">
        <f t="shared" si="44"/>
        <v>45</v>
      </c>
      <c r="F60" s="32">
        <f t="shared" si="45"/>
        <v>35</v>
      </c>
      <c r="I60" s="14" t="s">
        <v>44</v>
      </c>
      <c r="J60" s="18"/>
      <c r="K60" s="19">
        <f t="shared" si="9"/>
        <v>0.5</v>
      </c>
      <c r="L60" s="19">
        <f t="shared" si="46"/>
        <v>5.5</v>
      </c>
      <c r="M60" s="19">
        <f t="shared" si="47"/>
        <v>0</v>
      </c>
    </row>
    <row r="61" spans="1:13" x14ac:dyDescent="0.25">
      <c r="A61" s="16">
        <v>0.55252702111222396</v>
      </c>
      <c r="B61" s="16"/>
      <c r="C61" s="17">
        <v>38</v>
      </c>
      <c r="D61" s="21">
        <f t="shared" ref="D61" si="52">phi*(Preis_Tm1-niveau)+niveau+sigma*Zufall</f>
        <v>40</v>
      </c>
      <c r="E61" s="32">
        <f t="shared" si="44"/>
        <v>45</v>
      </c>
      <c r="F61" s="32">
        <f t="shared" si="45"/>
        <v>35</v>
      </c>
      <c r="I61" s="14" t="s">
        <v>45</v>
      </c>
      <c r="J61" s="18"/>
      <c r="K61" s="19">
        <f t="shared" si="9"/>
        <v>0.5</v>
      </c>
      <c r="L61" s="19">
        <f t="shared" si="46"/>
        <v>5.5</v>
      </c>
      <c r="M61" s="19">
        <f t="shared" si="47"/>
        <v>0</v>
      </c>
    </row>
    <row r="62" spans="1:13" x14ac:dyDescent="0.25">
      <c r="A62" s="16">
        <v>1.1006102178808701</v>
      </c>
      <c r="B62" s="16"/>
      <c r="C62" s="17">
        <v>39</v>
      </c>
      <c r="D62" s="21">
        <f t="shared" ref="D62" si="53">phi*(Preis_Tm1-niveau)+niveau+sigma*Zufall</f>
        <v>40</v>
      </c>
      <c r="E62" s="32">
        <f t="shared" si="44"/>
        <v>45</v>
      </c>
      <c r="F62" s="32">
        <f t="shared" si="45"/>
        <v>35</v>
      </c>
      <c r="I62" s="14" t="s">
        <v>46</v>
      </c>
      <c r="J62" s="18"/>
      <c r="K62" s="19">
        <f t="shared" si="9"/>
        <v>0.5</v>
      </c>
      <c r="L62" s="19">
        <f t="shared" si="46"/>
        <v>5.5</v>
      </c>
      <c r="M62" s="19">
        <f t="shared" si="47"/>
        <v>0</v>
      </c>
    </row>
    <row r="63" spans="1:13" x14ac:dyDescent="0.25">
      <c r="A63" s="16">
        <v>1.5442118955039501</v>
      </c>
      <c r="B63" s="16"/>
      <c r="C63" s="17">
        <v>40</v>
      </c>
      <c r="D63" s="21">
        <f t="shared" ref="D63" si="54">phi*(Preis_Tm1-niveau)+niveau+sigma*Zufall</f>
        <v>40</v>
      </c>
      <c r="E63" s="32">
        <f t="shared" si="44"/>
        <v>45</v>
      </c>
      <c r="F63" s="32">
        <f t="shared" si="45"/>
        <v>35</v>
      </c>
      <c r="I63" s="14" t="s">
        <v>47</v>
      </c>
      <c r="J63" s="18"/>
      <c r="K63" s="19">
        <f t="shared" si="9"/>
        <v>0.5</v>
      </c>
      <c r="L63" s="19">
        <f t="shared" si="46"/>
        <v>5.5</v>
      </c>
      <c r="M63" s="19">
        <f t="shared" si="47"/>
        <v>0</v>
      </c>
    </row>
    <row r="64" spans="1:13" x14ac:dyDescent="0.25">
      <c r="A64" s="16">
        <v>8.59311331754255E-2</v>
      </c>
      <c r="B64" s="16"/>
      <c r="C64" s="17">
        <v>41</v>
      </c>
      <c r="D64" s="21">
        <f t="shared" ref="D64" si="55">phi*(Preis_Tm1-niveau)+niveau+sigma*Zufall</f>
        <v>40</v>
      </c>
      <c r="E64" s="32">
        <f t="shared" si="44"/>
        <v>45</v>
      </c>
      <c r="F64" s="32">
        <f t="shared" si="45"/>
        <v>35</v>
      </c>
      <c r="I64" s="14" t="s">
        <v>48</v>
      </c>
      <c r="J64" s="18"/>
      <c r="K64" s="19">
        <f t="shared" si="9"/>
        <v>0.5</v>
      </c>
      <c r="L64" s="19">
        <f t="shared" si="46"/>
        <v>5.5</v>
      </c>
      <c r="M64" s="19">
        <f t="shared" si="47"/>
        <v>0</v>
      </c>
    </row>
    <row r="65" spans="1:13" x14ac:dyDescent="0.25">
      <c r="A65" s="16">
        <v>-1.4915903106376101</v>
      </c>
      <c r="B65" s="16"/>
      <c r="C65" s="17">
        <v>42</v>
      </c>
      <c r="D65" s="21">
        <f t="shared" ref="D65" si="56">phi*(Preis_Tm1-niveau)+niveau+sigma*Zufall</f>
        <v>40</v>
      </c>
      <c r="E65" s="32">
        <f t="shared" si="44"/>
        <v>45</v>
      </c>
      <c r="F65" s="32">
        <f t="shared" si="45"/>
        <v>35</v>
      </c>
      <c r="I65" s="14" t="s">
        <v>49</v>
      </c>
      <c r="J65" s="18"/>
      <c r="K65" s="19">
        <f t="shared" si="9"/>
        <v>0.5</v>
      </c>
      <c r="L65" s="19">
        <f t="shared" si="46"/>
        <v>5.5</v>
      </c>
      <c r="M65" s="19">
        <f t="shared" si="47"/>
        <v>0</v>
      </c>
    </row>
    <row r="66" spans="1:13" x14ac:dyDescent="0.25">
      <c r="A66" s="16">
        <v>-0.74230183725985699</v>
      </c>
      <c r="B66" s="16"/>
      <c r="C66" s="17">
        <v>43</v>
      </c>
      <c r="D66" s="21">
        <f t="shared" ref="D66" si="57">phi*(Preis_Tm1-niveau)+niveau+sigma*Zufall</f>
        <v>40</v>
      </c>
      <c r="E66" s="32">
        <f t="shared" si="44"/>
        <v>45</v>
      </c>
      <c r="F66" s="32">
        <f t="shared" si="45"/>
        <v>35</v>
      </c>
      <c r="I66" s="14" t="s">
        <v>50</v>
      </c>
      <c r="J66" s="18"/>
      <c r="K66" s="19">
        <f t="shared" si="9"/>
        <v>0.5</v>
      </c>
      <c r="L66" s="19">
        <f t="shared" si="46"/>
        <v>5.5</v>
      </c>
      <c r="M66" s="19">
        <f t="shared" si="47"/>
        <v>0</v>
      </c>
    </row>
    <row r="67" spans="1:13" x14ac:dyDescent="0.25">
      <c r="A67" s="16">
        <v>-1.06158173331999</v>
      </c>
      <c r="B67" s="16"/>
      <c r="C67" s="17">
        <v>44</v>
      </c>
      <c r="D67" s="21">
        <f t="shared" ref="D67" si="58">phi*(Preis_Tm1-niveau)+niveau+sigma*Zufall</f>
        <v>40</v>
      </c>
      <c r="E67" s="32">
        <f t="shared" si="44"/>
        <v>45</v>
      </c>
      <c r="F67" s="32">
        <f t="shared" si="45"/>
        <v>35</v>
      </c>
      <c r="I67" s="14" t="s">
        <v>51</v>
      </c>
      <c r="J67" s="18"/>
      <c r="K67" s="19">
        <f t="shared" si="9"/>
        <v>0.5</v>
      </c>
      <c r="L67" s="19">
        <f t="shared" si="46"/>
        <v>5.5</v>
      </c>
      <c r="M67" s="19">
        <f t="shared" si="47"/>
        <v>0</v>
      </c>
    </row>
    <row r="68" spans="1:13" x14ac:dyDescent="0.25">
      <c r="A68" s="16">
        <v>2.35045722400204</v>
      </c>
      <c r="B68" s="16"/>
      <c r="C68" s="17">
        <v>45</v>
      </c>
      <c r="D68" s="21">
        <f t="shared" ref="D68" si="59">phi*(Preis_Tm1-niveau)+niveau+sigma*Zufall</f>
        <v>40</v>
      </c>
      <c r="E68" s="32">
        <f t="shared" si="44"/>
        <v>45</v>
      </c>
      <c r="F68" s="32">
        <f t="shared" si="45"/>
        <v>35</v>
      </c>
      <c r="I68" s="14" t="s">
        <v>52</v>
      </c>
      <c r="J68" s="18"/>
      <c r="K68" s="19">
        <f t="shared" si="9"/>
        <v>0.5</v>
      </c>
      <c r="L68" s="19">
        <f t="shared" si="46"/>
        <v>5.5</v>
      </c>
      <c r="M68" s="19">
        <f t="shared" si="47"/>
        <v>0</v>
      </c>
    </row>
    <row r="69" spans="1:13" x14ac:dyDescent="0.25">
      <c r="A69" s="16">
        <v>-0.61560188146689399</v>
      </c>
      <c r="B69" s="16"/>
      <c r="C69" s="17">
        <v>46</v>
      </c>
      <c r="D69" s="21">
        <f t="shared" ref="D69" si="60">phi*(Preis_Tm1-niveau)+niveau+sigma*Zufall</f>
        <v>40</v>
      </c>
      <c r="E69" s="32">
        <f t="shared" si="44"/>
        <v>45</v>
      </c>
      <c r="F69" s="32">
        <f t="shared" si="45"/>
        <v>35</v>
      </c>
      <c r="I69" s="14" t="s">
        <v>53</v>
      </c>
      <c r="J69" s="18"/>
      <c r="K69" s="19">
        <f t="shared" si="9"/>
        <v>0.5</v>
      </c>
      <c r="L69" s="19">
        <f t="shared" si="46"/>
        <v>5.5</v>
      </c>
      <c r="M69" s="19">
        <f t="shared" si="47"/>
        <v>0</v>
      </c>
    </row>
    <row r="70" spans="1:13" x14ac:dyDescent="0.25">
      <c r="A70" s="16">
        <v>0.748076783703985</v>
      </c>
      <c r="B70" s="16"/>
      <c r="C70" s="17">
        <v>47</v>
      </c>
      <c r="D70" s="21">
        <f t="shared" ref="D70" si="61">phi*(Preis_Tm1-niveau)+niveau+sigma*Zufall</f>
        <v>40</v>
      </c>
      <c r="E70" s="32">
        <f t="shared" si="44"/>
        <v>45</v>
      </c>
      <c r="F70" s="32">
        <f t="shared" si="45"/>
        <v>35</v>
      </c>
      <c r="I70" s="14" t="s">
        <v>54</v>
      </c>
      <c r="J70" s="18"/>
      <c r="K70" s="19">
        <f t="shared" si="9"/>
        <v>0.5</v>
      </c>
      <c r="L70" s="19">
        <f t="shared" si="46"/>
        <v>5.5</v>
      </c>
      <c r="M70" s="19">
        <f t="shared" si="47"/>
        <v>0</v>
      </c>
    </row>
    <row r="71" spans="1:13" x14ac:dyDescent="0.25">
      <c r="A71" s="16">
        <v>-0.19241851058826401</v>
      </c>
      <c r="B71" s="16"/>
      <c r="C71" s="17">
        <v>48</v>
      </c>
      <c r="D71" s="21">
        <f t="shared" ref="D71" si="62">phi*(Preis_Tm1-niveau)+niveau+sigma*Zufall</f>
        <v>40</v>
      </c>
      <c r="E71" s="32">
        <f t="shared" si="44"/>
        <v>45</v>
      </c>
      <c r="F71" s="32">
        <f t="shared" si="45"/>
        <v>35</v>
      </c>
      <c r="I71" s="14" t="s">
        <v>55</v>
      </c>
      <c r="J71" s="18"/>
      <c r="K71" s="19">
        <f t="shared" si="9"/>
        <v>0.5</v>
      </c>
      <c r="L71" s="19">
        <f t="shared" si="46"/>
        <v>5.5</v>
      </c>
      <c r="M71" s="19">
        <f t="shared" si="47"/>
        <v>0</v>
      </c>
    </row>
    <row r="72" spans="1:13" x14ac:dyDescent="0.25">
      <c r="A72" s="16">
        <v>0.888610425420721</v>
      </c>
      <c r="B72" s="16"/>
      <c r="C72" s="17">
        <v>49</v>
      </c>
      <c r="D72" s="21">
        <f t="shared" ref="D72" si="63">phi*(Preis_Tm1-niveau)+niveau+sigma*Zufall</f>
        <v>40</v>
      </c>
      <c r="E72" s="32">
        <f t="shared" si="44"/>
        <v>45</v>
      </c>
      <c r="F72" s="32">
        <f t="shared" si="45"/>
        <v>35</v>
      </c>
      <c r="I72" s="14" t="s">
        <v>56</v>
      </c>
      <c r="J72" s="18"/>
      <c r="K72" s="19">
        <f t="shared" si="9"/>
        <v>0.5</v>
      </c>
      <c r="L72" s="19">
        <f t="shared" si="46"/>
        <v>5.5</v>
      </c>
      <c r="M72" s="19">
        <f t="shared" si="47"/>
        <v>0</v>
      </c>
    </row>
    <row r="73" spans="1:13" x14ac:dyDescent="0.25">
      <c r="A73" s="16">
        <v>-0.76484923656787396</v>
      </c>
      <c r="B73" s="16"/>
      <c r="C73" s="17">
        <v>50</v>
      </c>
      <c r="D73" s="21">
        <f t="shared" ref="D73" si="64">phi*(Preis_Tm1-niveau)+niveau+sigma*Zufall</f>
        <v>40</v>
      </c>
      <c r="E73" s="32">
        <f t="shared" si="44"/>
        <v>45</v>
      </c>
      <c r="F73" s="32">
        <f t="shared" si="45"/>
        <v>35</v>
      </c>
      <c r="I73" s="14" t="s">
        <v>57</v>
      </c>
      <c r="J73" s="18"/>
      <c r="K73" s="19">
        <f t="shared" si="9"/>
        <v>0.5</v>
      </c>
      <c r="L73" s="19">
        <f t="shared" si="46"/>
        <v>5.5</v>
      </c>
      <c r="M73" s="19">
        <f t="shared" si="47"/>
        <v>0</v>
      </c>
    </row>
    <row r="74" spans="1:13" x14ac:dyDescent="0.25">
      <c r="A74" s="16">
        <v>-1.40226896933876</v>
      </c>
      <c r="B74" s="16"/>
      <c r="C74" s="17">
        <v>51</v>
      </c>
      <c r="D74" s="21">
        <f t="shared" ref="D74" si="65">phi*(Preis_Tm1-niveau)+niveau+sigma*Zufall</f>
        <v>40</v>
      </c>
      <c r="E74" s="32">
        <f t="shared" si="44"/>
        <v>45</v>
      </c>
      <c r="F74" s="32">
        <f t="shared" si="45"/>
        <v>35</v>
      </c>
      <c r="I74" s="14" t="s">
        <v>58</v>
      </c>
      <c r="J74" s="18"/>
      <c r="K74" s="19">
        <f t="shared" si="9"/>
        <v>0.5</v>
      </c>
      <c r="L74" s="19">
        <f t="shared" si="46"/>
        <v>5.5</v>
      </c>
      <c r="M74" s="19">
        <f t="shared" si="47"/>
        <v>0</v>
      </c>
    </row>
    <row r="75" spans="1:13" x14ac:dyDescent="0.25">
      <c r="A75" s="16">
        <v>-1.4223759250915</v>
      </c>
      <c r="B75" s="16"/>
      <c r="C75" s="17">
        <v>52</v>
      </c>
      <c r="D75" s="21">
        <f t="shared" ref="D75" si="66">phi*(Preis_Tm1-niveau)+niveau+sigma*Zufall</f>
        <v>40</v>
      </c>
      <c r="E75" s="32">
        <f t="shared" si="44"/>
        <v>45</v>
      </c>
      <c r="F75" s="32">
        <f t="shared" si="45"/>
        <v>35</v>
      </c>
      <c r="I75" s="14" t="s">
        <v>59</v>
      </c>
      <c r="J75" s="18"/>
      <c r="K75" s="19">
        <f t="shared" si="9"/>
        <v>0.5</v>
      </c>
      <c r="L75" s="19">
        <f t="shared" si="46"/>
        <v>5.5</v>
      </c>
      <c r="M75" s="19">
        <f t="shared" si="47"/>
        <v>0</v>
      </c>
    </row>
    <row r="76" spans="1:13" x14ac:dyDescent="0.25">
      <c r="A76" s="16">
        <v>0.48819390985994099</v>
      </c>
      <c r="B76" s="16"/>
      <c r="C76" s="17">
        <v>53</v>
      </c>
      <c r="D76" s="21">
        <f t="shared" ref="D76" si="67">phi*(Preis_Tm1-niveau)+niveau+sigma*Zufall</f>
        <v>40</v>
      </c>
      <c r="E76" s="32">
        <f t="shared" si="44"/>
        <v>45</v>
      </c>
      <c r="F76" s="32">
        <f t="shared" si="45"/>
        <v>35</v>
      </c>
      <c r="I76" s="14" t="s">
        <v>60</v>
      </c>
      <c r="J76" s="18"/>
      <c r="K76" s="19">
        <f t="shared" si="9"/>
        <v>0.5</v>
      </c>
      <c r="L76" s="19">
        <f t="shared" si="46"/>
        <v>5.5</v>
      </c>
      <c r="M76" s="19">
        <f t="shared" si="47"/>
        <v>0</v>
      </c>
    </row>
    <row r="77" spans="1:13" x14ac:dyDescent="0.25">
      <c r="A77" s="16">
        <v>-0.177375156618825</v>
      </c>
      <c r="B77" s="16"/>
      <c r="C77" s="17">
        <v>54</v>
      </c>
      <c r="D77" s="21">
        <f t="shared" ref="D77" si="68">phi*(Preis_Tm1-niveau)+niveau+sigma*Zufall</f>
        <v>40</v>
      </c>
      <c r="E77" s="32">
        <f t="shared" si="44"/>
        <v>45</v>
      </c>
      <c r="F77" s="32">
        <f t="shared" si="45"/>
        <v>35</v>
      </c>
      <c r="I77" s="14" t="s">
        <v>61</v>
      </c>
      <c r="J77" s="18"/>
      <c r="K77" s="19">
        <f t="shared" si="9"/>
        <v>0.5</v>
      </c>
      <c r="L77" s="19">
        <f t="shared" si="46"/>
        <v>5.5</v>
      </c>
      <c r="M77" s="19">
        <f t="shared" si="47"/>
        <v>0</v>
      </c>
    </row>
    <row r="78" spans="1:13" x14ac:dyDescent="0.25">
      <c r="A78" s="16">
        <v>-0.196053487807333</v>
      </c>
      <c r="B78" s="16"/>
      <c r="C78" s="17">
        <v>55</v>
      </c>
      <c r="D78" s="21">
        <f t="shared" ref="D78" si="69">phi*(Preis_Tm1-niveau)+niveau+sigma*Zufall</f>
        <v>40</v>
      </c>
      <c r="E78" s="32">
        <f t="shared" si="44"/>
        <v>45</v>
      </c>
      <c r="F78" s="32">
        <f t="shared" si="45"/>
        <v>35</v>
      </c>
      <c r="I78" s="14" t="s">
        <v>62</v>
      </c>
      <c r="J78" s="18"/>
      <c r="K78" s="19">
        <f t="shared" si="9"/>
        <v>0.5</v>
      </c>
      <c r="L78" s="19">
        <f t="shared" si="46"/>
        <v>5.5</v>
      </c>
      <c r="M78" s="19">
        <f t="shared" si="47"/>
        <v>0</v>
      </c>
    </row>
    <row r="79" spans="1:13" x14ac:dyDescent="0.25">
      <c r="A79" s="16">
        <v>1.4193101506425501</v>
      </c>
      <c r="B79" s="16"/>
      <c r="C79" s="17">
        <v>56</v>
      </c>
      <c r="D79" s="21">
        <f t="shared" ref="D79" si="70">phi*(Preis_Tm1-niveau)+niveau+sigma*Zufall</f>
        <v>40</v>
      </c>
      <c r="E79" s="32">
        <f t="shared" si="44"/>
        <v>45</v>
      </c>
      <c r="F79" s="32">
        <f t="shared" si="45"/>
        <v>35</v>
      </c>
      <c r="I79" s="14" t="s">
        <v>63</v>
      </c>
      <c r="J79" s="18"/>
      <c r="K79" s="19">
        <f t="shared" si="9"/>
        <v>0.5</v>
      </c>
      <c r="L79" s="19">
        <f t="shared" si="46"/>
        <v>5.5</v>
      </c>
      <c r="M79" s="19">
        <f t="shared" si="47"/>
        <v>0</v>
      </c>
    </row>
    <row r="80" spans="1:13" x14ac:dyDescent="0.25">
      <c r="A80" s="16">
        <v>0.29158437398418302</v>
      </c>
      <c r="B80" s="16"/>
      <c r="C80" s="17">
        <v>57</v>
      </c>
      <c r="D80" s="21">
        <f t="shared" ref="D80" si="71">phi*(Preis_Tm1-niveau)+niveau+sigma*Zufall</f>
        <v>40</v>
      </c>
      <c r="E80" s="32">
        <f t="shared" si="44"/>
        <v>45</v>
      </c>
      <c r="F80" s="32">
        <f t="shared" si="45"/>
        <v>35</v>
      </c>
      <c r="I80" s="14" t="s">
        <v>64</v>
      </c>
      <c r="J80" s="18"/>
      <c r="K80" s="19">
        <f t="shared" si="9"/>
        <v>0.5</v>
      </c>
      <c r="L80" s="19">
        <f t="shared" si="46"/>
        <v>5.5</v>
      </c>
      <c r="M80" s="19">
        <f t="shared" si="47"/>
        <v>0</v>
      </c>
    </row>
    <row r="81" spans="1:13" x14ac:dyDescent="0.25">
      <c r="A81" s="16">
        <v>0.19781105346436101</v>
      </c>
      <c r="B81" s="16"/>
      <c r="C81" s="17">
        <v>58</v>
      </c>
      <c r="D81" s="21">
        <f t="shared" ref="D81" si="72">phi*(Preis_Tm1-niveau)+niveau+sigma*Zufall</f>
        <v>40</v>
      </c>
      <c r="E81" s="32">
        <f t="shared" si="44"/>
        <v>45</v>
      </c>
      <c r="F81" s="32">
        <f t="shared" si="45"/>
        <v>35</v>
      </c>
      <c r="I81" s="14" t="s">
        <v>65</v>
      </c>
      <c r="J81" s="18"/>
      <c r="K81" s="19">
        <f t="shared" si="9"/>
        <v>0.5</v>
      </c>
      <c r="L81" s="19">
        <f t="shared" si="46"/>
        <v>5.5</v>
      </c>
      <c r="M81" s="19">
        <f t="shared" si="47"/>
        <v>0</v>
      </c>
    </row>
    <row r="82" spans="1:13" x14ac:dyDescent="0.25">
      <c r="A82" s="16">
        <v>1.58769908997406</v>
      </c>
      <c r="B82" s="16"/>
      <c r="C82" s="17">
        <v>59</v>
      </c>
      <c r="D82" s="21">
        <f t="shared" ref="D82" si="73">phi*(Preis_Tm1-niveau)+niveau+sigma*Zufall</f>
        <v>40</v>
      </c>
      <c r="E82" s="32">
        <f t="shared" si="44"/>
        <v>45</v>
      </c>
      <c r="F82" s="32">
        <f t="shared" si="45"/>
        <v>35</v>
      </c>
      <c r="I82" s="14" t="s">
        <v>66</v>
      </c>
      <c r="J82" s="18"/>
      <c r="K82" s="19">
        <f t="shared" si="9"/>
        <v>0.5</v>
      </c>
      <c r="L82" s="19">
        <f t="shared" si="46"/>
        <v>5.5</v>
      </c>
      <c r="M82" s="19">
        <f t="shared" si="47"/>
        <v>0</v>
      </c>
    </row>
    <row r="83" spans="1:13" x14ac:dyDescent="0.25">
      <c r="A83" s="16">
        <v>-0.80446595634954698</v>
      </c>
      <c r="B83" s="16"/>
      <c r="C83" s="17">
        <v>60</v>
      </c>
      <c r="D83" s="21">
        <f t="shared" ref="D83" si="74">phi*(Preis_Tm1-niveau)+niveau+sigma*Zufall</f>
        <v>40</v>
      </c>
      <c r="E83" s="32">
        <f t="shared" si="44"/>
        <v>45</v>
      </c>
      <c r="F83" s="32">
        <f t="shared" si="45"/>
        <v>35</v>
      </c>
      <c r="I83" s="14" t="s">
        <v>67</v>
      </c>
      <c r="J83" s="18"/>
      <c r="K83" s="19">
        <f t="shared" si="9"/>
        <v>0.5</v>
      </c>
      <c r="L83" s="19">
        <f t="shared" si="46"/>
        <v>5.5</v>
      </c>
      <c r="M83" s="19">
        <f t="shared" si="47"/>
        <v>0</v>
      </c>
    </row>
    <row r="84" spans="1:13" x14ac:dyDescent="0.25">
      <c r="A84" s="16">
        <v>0.69662441584960699</v>
      </c>
      <c r="B84" s="16"/>
      <c r="C84" s="17">
        <v>61</v>
      </c>
      <c r="D84" s="21">
        <f t="shared" ref="D84" si="75">phi*(Preis_Tm1-niveau)+niveau+sigma*Zufall</f>
        <v>40</v>
      </c>
      <c r="E84" s="32">
        <f t="shared" si="44"/>
        <v>45</v>
      </c>
      <c r="F84" s="32">
        <f t="shared" si="45"/>
        <v>35</v>
      </c>
      <c r="I84" s="14" t="s">
        <v>68</v>
      </c>
      <c r="J84" s="18"/>
      <c r="K84" s="19">
        <f t="shared" si="9"/>
        <v>0.5</v>
      </c>
      <c r="L84" s="19">
        <f t="shared" si="46"/>
        <v>5.5</v>
      </c>
      <c r="M84" s="19">
        <f t="shared" si="47"/>
        <v>0</v>
      </c>
    </row>
    <row r="85" spans="1:13" x14ac:dyDescent="0.25">
      <c r="A85" s="16">
        <v>0.83508816507268202</v>
      </c>
      <c r="B85" s="16"/>
      <c r="C85" s="17">
        <v>62</v>
      </c>
      <c r="D85" s="21">
        <f t="shared" ref="D85" si="76">phi*(Preis_Tm1-niveau)+niveau+sigma*Zufall</f>
        <v>40</v>
      </c>
      <c r="E85" s="32">
        <f t="shared" si="44"/>
        <v>45</v>
      </c>
      <c r="F85" s="32">
        <f t="shared" si="45"/>
        <v>35</v>
      </c>
      <c r="I85" s="14" t="s">
        <v>69</v>
      </c>
      <c r="J85" s="18"/>
      <c r="K85" s="19">
        <f t="shared" si="9"/>
        <v>0.5</v>
      </c>
      <c r="L85" s="19">
        <f t="shared" si="46"/>
        <v>5.5</v>
      </c>
      <c r="M85" s="19">
        <f t="shared" si="47"/>
        <v>0</v>
      </c>
    </row>
    <row r="86" spans="1:13" x14ac:dyDescent="0.25">
      <c r="A86" s="16">
        <v>-0.243715140377952</v>
      </c>
      <c r="B86" s="16"/>
      <c r="C86" s="17">
        <v>63</v>
      </c>
      <c r="D86" s="21">
        <f t="shared" ref="D86" si="77">phi*(Preis_Tm1-niveau)+niveau+sigma*Zufall</f>
        <v>40</v>
      </c>
      <c r="E86" s="32">
        <f t="shared" si="44"/>
        <v>45</v>
      </c>
      <c r="F86" s="32">
        <f t="shared" si="45"/>
        <v>35</v>
      </c>
      <c r="I86" s="14" t="s">
        <v>70</v>
      </c>
      <c r="J86" s="18"/>
      <c r="K86" s="19">
        <f t="shared" si="9"/>
        <v>0.5</v>
      </c>
      <c r="L86" s="19">
        <f t="shared" si="46"/>
        <v>5.5</v>
      </c>
      <c r="M86" s="19">
        <f t="shared" si="47"/>
        <v>0</v>
      </c>
    </row>
    <row r="87" spans="1:13" x14ac:dyDescent="0.25">
      <c r="A87" s="16">
        <v>0.21567008640374399</v>
      </c>
      <c r="B87" s="16"/>
      <c r="C87" s="17">
        <v>64</v>
      </c>
      <c r="D87" s="21">
        <f t="shared" ref="D87" si="78">phi*(Preis_Tm1-niveau)+niveau+sigma*Zufall</f>
        <v>40</v>
      </c>
      <c r="E87" s="32">
        <f t="shared" si="44"/>
        <v>45</v>
      </c>
      <c r="F87" s="32">
        <f t="shared" si="45"/>
        <v>35</v>
      </c>
      <c r="I87" s="14" t="s">
        <v>71</v>
      </c>
      <c r="J87" s="18"/>
      <c r="K87" s="19">
        <f t="shared" si="9"/>
        <v>0.5</v>
      </c>
      <c r="L87" s="19">
        <f t="shared" si="46"/>
        <v>5.5</v>
      </c>
      <c r="M87" s="19">
        <f t="shared" si="47"/>
        <v>0</v>
      </c>
    </row>
    <row r="88" spans="1:13" x14ac:dyDescent="0.25">
      <c r="A88" s="16">
        <v>-1.1658439314820499</v>
      </c>
      <c r="B88" s="16"/>
      <c r="C88" s="17">
        <v>65</v>
      </c>
      <c r="D88" s="21">
        <f t="shared" ref="D88" si="79">phi*(Preis_Tm1-niveau)+niveau+sigma*Zufall</f>
        <v>40</v>
      </c>
      <c r="E88" s="32">
        <f t="shared" ref="E88:E119" si="80">D88+dx</f>
        <v>45</v>
      </c>
      <c r="F88" s="32">
        <f t="shared" ref="F88:F123" si="81">D88-dx</f>
        <v>35</v>
      </c>
      <c r="I88" s="14" t="s">
        <v>72</v>
      </c>
      <c r="J88" s="18"/>
      <c r="K88" s="19">
        <f t="shared" ref="K88:K123" si="82">MAX(Preis_T-K,0)</f>
        <v>0.5</v>
      </c>
      <c r="L88" s="19">
        <f t="shared" ref="L88:L123" si="83">MAX(Preisup-K,0)</f>
        <v>5.5</v>
      </c>
      <c r="M88" s="19">
        <f t="shared" ref="M88:M123" si="84">MAX(Preisdown-K,0)</f>
        <v>0</v>
      </c>
    </row>
    <row r="89" spans="1:13" x14ac:dyDescent="0.25">
      <c r="A89" s="16">
        <v>-1.1479527788985899</v>
      </c>
      <c r="B89" s="16"/>
      <c r="C89" s="17">
        <v>66</v>
      </c>
      <c r="D89" s="21">
        <f t="shared" ref="D89" si="85">phi*(Preis_Tm1-niveau)+niveau+sigma*Zufall</f>
        <v>40</v>
      </c>
      <c r="E89" s="32">
        <f t="shared" si="80"/>
        <v>45</v>
      </c>
      <c r="F89" s="32">
        <f t="shared" si="81"/>
        <v>35</v>
      </c>
      <c r="I89" s="14" t="s">
        <v>73</v>
      </c>
      <c r="J89" s="18"/>
      <c r="K89" s="19">
        <f t="shared" si="82"/>
        <v>0.5</v>
      </c>
      <c r="L89" s="19">
        <f t="shared" si="83"/>
        <v>5.5</v>
      </c>
      <c r="M89" s="19">
        <f t="shared" si="84"/>
        <v>0</v>
      </c>
    </row>
    <row r="90" spans="1:13" x14ac:dyDescent="0.25">
      <c r="A90" s="16">
        <v>0.10487471601649399</v>
      </c>
      <c r="B90" s="16"/>
      <c r="C90" s="17">
        <v>67</v>
      </c>
      <c r="D90" s="21">
        <f t="shared" ref="D90" si="86">phi*(Preis_Tm1-niveau)+niveau+sigma*Zufall</f>
        <v>40</v>
      </c>
      <c r="E90" s="32">
        <f t="shared" si="80"/>
        <v>45</v>
      </c>
      <c r="F90" s="32">
        <f t="shared" si="81"/>
        <v>35</v>
      </c>
      <c r="I90" s="14" t="s">
        <v>74</v>
      </c>
      <c r="J90" s="18"/>
      <c r="K90" s="19">
        <f t="shared" si="82"/>
        <v>0.5</v>
      </c>
      <c r="L90" s="19">
        <f t="shared" si="83"/>
        <v>5.5</v>
      </c>
      <c r="M90" s="19">
        <f t="shared" si="84"/>
        <v>0</v>
      </c>
    </row>
    <row r="91" spans="1:13" x14ac:dyDescent="0.25">
      <c r="A91" s="16">
        <v>0.72225403222500195</v>
      </c>
      <c r="B91" s="16"/>
      <c r="C91" s="17">
        <v>68</v>
      </c>
      <c r="D91" s="21">
        <f t="shared" ref="D91" si="87">phi*(Preis_Tm1-niveau)+niveau+sigma*Zufall</f>
        <v>40</v>
      </c>
      <c r="E91" s="32">
        <f t="shared" si="80"/>
        <v>45</v>
      </c>
      <c r="F91" s="32">
        <f t="shared" si="81"/>
        <v>35</v>
      </c>
      <c r="I91" s="14" t="s">
        <v>75</v>
      </c>
      <c r="J91" s="18"/>
      <c r="K91" s="19">
        <f t="shared" si="82"/>
        <v>0.5</v>
      </c>
      <c r="L91" s="19">
        <f t="shared" si="83"/>
        <v>5.5</v>
      </c>
      <c r="M91" s="19">
        <f t="shared" si="84"/>
        <v>0</v>
      </c>
    </row>
    <row r="92" spans="1:13" x14ac:dyDescent="0.25">
      <c r="A92" s="16">
        <v>2.5854912526162401</v>
      </c>
      <c r="B92" s="16"/>
      <c r="C92" s="17">
        <v>69</v>
      </c>
      <c r="D92" s="21">
        <f t="shared" ref="D92" si="88">phi*(Preis_Tm1-niveau)+niveau+sigma*Zufall</f>
        <v>40</v>
      </c>
      <c r="E92" s="32">
        <f t="shared" si="80"/>
        <v>45</v>
      </c>
      <c r="F92" s="32">
        <f t="shared" si="81"/>
        <v>35</v>
      </c>
      <c r="I92" s="14" t="s">
        <v>76</v>
      </c>
      <c r="J92" s="18"/>
      <c r="K92" s="19">
        <f t="shared" si="82"/>
        <v>0.5</v>
      </c>
      <c r="L92" s="19">
        <f t="shared" si="83"/>
        <v>5.5</v>
      </c>
      <c r="M92" s="19">
        <f t="shared" si="84"/>
        <v>0</v>
      </c>
    </row>
    <row r="93" spans="1:13" x14ac:dyDescent="0.25">
      <c r="A93" s="16">
        <v>-0.66689067070138597</v>
      </c>
      <c r="B93" s="16"/>
      <c r="C93" s="17">
        <v>70</v>
      </c>
      <c r="D93" s="21">
        <f t="shared" ref="D93" si="89">phi*(Preis_Tm1-niveau)+niveau+sigma*Zufall</f>
        <v>40</v>
      </c>
      <c r="E93" s="32">
        <f t="shared" si="80"/>
        <v>45</v>
      </c>
      <c r="F93" s="32">
        <f t="shared" si="81"/>
        <v>35</v>
      </c>
      <c r="I93" s="14" t="s">
        <v>77</v>
      </c>
      <c r="J93" s="18"/>
      <c r="K93" s="19">
        <f t="shared" si="82"/>
        <v>0.5</v>
      </c>
      <c r="L93" s="19">
        <f t="shared" si="83"/>
        <v>5.5</v>
      </c>
      <c r="M93" s="19">
        <f t="shared" si="84"/>
        <v>0</v>
      </c>
    </row>
    <row r="94" spans="1:13" x14ac:dyDescent="0.25">
      <c r="A94" s="16">
        <v>0.18733102457893999</v>
      </c>
      <c r="B94" s="16"/>
      <c r="C94" s="17">
        <v>71</v>
      </c>
      <c r="D94" s="21">
        <f t="shared" ref="D94" si="90">phi*(Preis_Tm1-niveau)+niveau+sigma*Zufall</f>
        <v>40</v>
      </c>
      <c r="E94" s="32">
        <f t="shared" si="80"/>
        <v>45</v>
      </c>
      <c r="F94" s="32">
        <f t="shared" si="81"/>
        <v>35</v>
      </c>
      <c r="I94" s="14" t="s">
        <v>78</v>
      </c>
      <c r="J94" s="18"/>
      <c r="K94" s="19">
        <f t="shared" si="82"/>
        <v>0.5</v>
      </c>
      <c r="L94" s="19">
        <f t="shared" si="83"/>
        <v>5.5</v>
      </c>
      <c r="M94" s="19">
        <f t="shared" si="84"/>
        <v>0</v>
      </c>
    </row>
    <row r="95" spans="1:13" x14ac:dyDescent="0.25">
      <c r="A95" s="16">
        <v>-8.2494425370955402E-2</v>
      </c>
      <c r="B95" s="16"/>
      <c r="C95" s="17">
        <v>72</v>
      </c>
      <c r="D95" s="21">
        <f t="shared" ref="D95" si="91">phi*(Preis_Tm1-niveau)+niveau+sigma*Zufall</f>
        <v>40</v>
      </c>
      <c r="E95" s="32">
        <f t="shared" si="80"/>
        <v>45</v>
      </c>
      <c r="F95" s="32">
        <f t="shared" si="81"/>
        <v>35</v>
      </c>
      <c r="I95" s="14" t="s">
        <v>79</v>
      </c>
      <c r="J95" s="18"/>
      <c r="K95" s="19">
        <f t="shared" si="82"/>
        <v>0.5</v>
      </c>
      <c r="L95" s="19">
        <f t="shared" si="83"/>
        <v>5.5</v>
      </c>
      <c r="M95" s="19">
        <f t="shared" si="84"/>
        <v>0</v>
      </c>
    </row>
    <row r="96" spans="1:13" x14ac:dyDescent="0.25">
      <c r="A96" s="16">
        <v>-1.9330229178509899</v>
      </c>
      <c r="B96" s="16"/>
      <c r="C96" s="17">
        <v>73</v>
      </c>
      <c r="D96" s="21">
        <f t="shared" ref="D96" si="92">phi*(Preis_Tm1-niveau)+niveau+sigma*Zufall</f>
        <v>40</v>
      </c>
      <c r="E96" s="32">
        <f t="shared" si="80"/>
        <v>45</v>
      </c>
      <c r="F96" s="32">
        <f t="shared" si="81"/>
        <v>35</v>
      </c>
      <c r="I96" s="14" t="s">
        <v>80</v>
      </c>
      <c r="J96" s="18"/>
      <c r="K96" s="19">
        <f t="shared" si="82"/>
        <v>0.5</v>
      </c>
      <c r="L96" s="19">
        <f t="shared" si="83"/>
        <v>5.5</v>
      </c>
      <c r="M96" s="19">
        <f t="shared" si="84"/>
        <v>0</v>
      </c>
    </row>
    <row r="97" spans="1:13" x14ac:dyDescent="0.25">
      <c r="A97" s="16">
        <v>-0.43896615393477301</v>
      </c>
      <c r="B97" s="16"/>
      <c r="C97" s="17">
        <v>74</v>
      </c>
      <c r="D97" s="21">
        <f t="shared" ref="D97" si="93">phi*(Preis_Tm1-niveau)+niveau+sigma*Zufall</f>
        <v>40</v>
      </c>
      <c r="E97" s="32">
        <f t="shared" si="80"/>
        <v>45</v>
      </c>
      <c r="F97" s="32">
        <f t="shared" si="81"/>
        <v>35</v>
      </c>
      <c r="I97" s="14" t="s">
        <v>81</v>
      </c>
      <c r="J97" s="18"/>
      <c r="K97" s="19">
        <f t="shared" si="82"/>
        <v>0.5</v>
      </c>
      <c r="L97" s="19">
        <f t="shared" si="83"/>
        <v>5.5</v>
      </c>
      <c r="M97" s="19">
        <f t="shared" si="84"/>
        <v>0</v>
      </c>
    </row>
    <row r="98" spans="1:13" x14ac:dyDescent="0.25">
      <c r="A98" s="16">
        <v>-1.79467884145512</v>
      </c>
      <c r="B98" s="16"/>
      <c r="C98" s="17">
        <v>75</v>
      </c>
      <c r="D98" s="21">
        <f t="shared" ref="D98" si="94">phi*(Preis_Tm1-niveau)+niveau+sigma*Zufall</f>
        <v>40</v>
      </c>
      <c r="E98" s="32">
        <f t="shared" si="80"/>
        <v>45</v>
      </c>
      <c r="F98" s="32">
        <f t="shared" si="81"/>
        <v>35</v>
      </c>
      <c r="I98" s="14" t="s">
        <v>82</v>
      </c>
      <c r="J98" s="18"/>
      <c r="K98" s="19">
        <f t="shared" si="82"/>
        <v>0.5</v>
      </c>
      <c r="L98" s="19">
        <f t="shared" si="83"/>
        <v>5.5</v>
      </c>
      <c r="M98" s="19">
        <f t="shared" si="84"/>
        <v>0</v>
      </c>
    </row>
    <row r="99" spans="1:13" x14ac:dyDescent="0.25">
      <c r="A99" s="16">
        <v>0.84037552975390495</v>
      </c>
      <c r="B99" s="16"/>
      <c r="C99" s="17">
        <v>76</v>
      </c>
      <c r="D99" s="21">
        <f t="shared" ref="D99" si="95">phi*(Preis_Tm1-niveau)+niveau+sigma*Zufall</f>
        <v>40</v>
      </c>
      <c r="E99" s="32">
        <f t="shared" si="80"/>
        <v>45</v>
      </c>
      <c r="F99" s="32">
        <f t="shared" si="81"/>
        <v>35</v>
      </c>
      <c r="I99" s="14" t="s">
        <v>83</v>
      </c>
      <c r="J99" s="18"/>
      <c r="K99" s="19">
        <f t="shared" si="82"/>
        <v>0.5</v>
      </c>
      <c r="L99" s="19">
        <f t="shared" si="83"/>
        <v>5.5</v>
      </c>
      <c r="M99" s="19">
        <f t="shared" si="84"/>
        <v>0</v>
      </c>
    </row>
    <row r="100" spans="1:13" x14ac:dyDescent="0.25">
      <c r="A100" s="16">
        <v>-0.88803208232900999</v>
      </c>
      <c r="B100" s="16"/>
      <c r="C100" s="17">
        <v>77</v>
      </c>
      <c r="D100" s="21">
        <f t="shared" ref="D100" si="96">phi*(Preis_Tm1-niveau)+niveau+sigma*Zufall</f>
        <v>40</v>
      </c>
      <c r="E100" s="32">
        <f t="shared" si="80"/>
        <v>45</v>
      </c>
      <c r="F100" s="32">
        <f t="shared" si="81"/>
        <v>35</v>
      </c>
      <c r="I100" s="14" t="s">
        <v>84</v>
      </c>
      <c r="J100" s="18"/>
      <c r="K100" s="19">
        <f t="shared" si="82"/>
        <v>0.5</v>
      </c>
      <c r="L100" s="19">
        <f t="shared" si="83"/>
        <v>5.5</v>
      </c>
      <c r="M100" s="19">
        <f t="shared" si="84"/>
        <v>0</v>
      </c>
    </row>
    <row r="101" spans="1:13" x14ac:dyDescent="0.25">
      <c r="A101" s="16">
        <v>0.100092833139322</v>
      </c>
      <c r="B101" s="16"/>
      <c r="C101" s="17">
        <v>78</v>
      </c>
      <c r="D101" s="21">
        <f t="shared" ref="D101" si="97">phi*(Preis_Tm1-niveau)+niveau+sigma*Zufall</f>
        <v>40</v>
      </c>
      <c r="E101" s="32">
        <f t="shared" si="80"/>
        <v>45</v>
      </c>
      <c r="F101" s="32">
        <f t="shared" si="81"/>
        <v>35</v>
      </c>
      <c r="I101" s="14" t="s">
        <v>85</v>
      </c>
      <c r="J101" s="18"/>
      <c r="K101" s="19">
        <f t="shared" si="82"/>
        <v>0.5</v>
      </c>
      <c r="L101" s="19">
        <f t="shared" si="83"/>
        <v>5.5</v>
      </c>
      <c r="M101" s="19">
        <f t="shared" si="84"/>
        <v>0</v>
      </c>
    </row>
    <row r="102" spans="1:13" x14ac:dyDescent="0.25">
      <c r="A102" s="16">
        <v>-0.54452892999054803</v>
      </c>
      <c r="B102" s="16"/>
      <c r="C102" s="17">
        <v>79</v>
      </c>
      <c r="D102" s="21">
        <f t="shared" ref="D102" si="98">phi*(Preis_Tm1-niveau)+niveau+sigma*Zufall</f>
        <v>40</v>
      </c>
      <c r="E102" s="32">
        <f t="shared" si="80"/>
        <v>45</v>
      </c>
      <c r="F102" s="32">
        <f t="shared" si="81"/>
        <v>35</v>
      </c>
      <c r="I102" s="14" t="s">
        <v>86</v>
      </c>
      <c r="J102" s="18"/>
      <c r="K102" s="19">
        <f t="shared" si="82"/>
        <v>0.5</v>
      </c>
      <c r="L102" s="19">
        <f t="shared" si="83"/>
        <v>5.5</v>
      </c>
      <c r="M102" s="19">
        <f t="shared" si="84"/>
        <v>0</v>
      </c>
    </row>
    <row r="103" spans="1:13" x14ac:dyDescent="0.25">
      <c r="A103" s="16">
        <v>0.303520794649354</v>
      </c>
      <c r="B103" s="16"/>
      <c r="C103" s="17">
        <v>80</v>
      </c>
      <c r="D103" s="21">
        <f t="shared" ref="D103" si="99">phi*(Preis_Tm1-niveau)+niveau+sigma*Zufall</f>
        <v>40</v>
      </c>
      <c r="E103" s="32">
        <f t="shared" si="80"/>
        <v>45</v>
      </c>
      <c r="F103" s="32">
        <f t="shared" si="81"/>
        <v>35</v>
      </c>
      <c r="I103" s="14" t="s">
        <v>87</v>
      </c>
      <c r="J103" s="18"/>
      <c r="K103" s="19">
        <f t="shared" si="82"/>
        <v>0.5</v>
      </c>
      <c r="L103" s="19">
        <f t="shared" si="83"/>
        <v>5.5</v>
      </c>
      <c r="M103" s="19">
        <f t="shared" si="84"/>
        <v>0</v>
      </c>
    </row>
    <row r="104" spans="1:13" x14ac:dyDescent="0.25">
      <c r="A104" s="16">
        <v>-0.60032656213373403</v>
      </c>
      <c r="B104" s="16"/>
      <c r="C104" s="17">
        <v>81</v>
      </c>
      <c r="D104" s="21">
        <f t="shared" ref="D104" si="100">phi*(Preis_Tm1-niveau)+niveau+sigma*Zufall</f>
        <v>40</v>
      </c>
      <c r="E104" s="32">
        <f t="shared" si="80"/>
        <v>45</v>
      </c>
      <c r="F104" s="32">
        <f t="shared" si="81"/>
        <v>35</v>
      </c>
      <c r="I104" s="14" t="s">
        <v>88</v>
      </c>
      <c r="J104" s="18"/>
      <c r="K104" s="19">
        <f t="shared" si="82"/>
        <v>0.5</v>
      </c>
      <c r="L104" s="19">
        <f t="shared" si="83"/>
        <v>5.5</v>
      </c>
      <c r="M104" s="19">
        <f t="shared" si="84"/>
        <v>0</v>
      </c>
    </row>
    <row r="105" spans="1:13" x14ac:dyDescent="0.25">
      <c r="A105" s="16">
        <v>0.48996532117394798</v>
      </c>
      <c r="B105" s="16"/>
      <c r="C105" s="17">
        <v>82</v>
      </c>
      <c r="D105" s="21">
        <f t="shared" ref="D105" si="101">phi*(Preis_Tm1-niveau)+niveau+sigma*Zufall</f>
        <v>40</v>
      </c>
      <c r="E105" s="32">
        <f t="shared" si="80"/>
        <v>45</v>
      </c>
      <c r="F105" s="32">
        <f t="shared" si="81"/>
        <v>35</v>
      </c>
      <c r="I105" s="14" t="s">
        <v>89</v>
      </c>
      <c r="J105" s="18"/>
      <c r="K105" s="19">
        <f t="shared" si="82"/>
        <v>0.5</v>
      </c>
      <c r="L105" s="19">
        <f t="shared" si="83"/>
        <v>5.5</v>
      </c>
      <c r="M105" s="19">
        <f t="shared" si="84"/>
        <v>0</v>
      </c>
    </row>
    <row r="106" spans="1:13" x14ac:dyDescent="0.25">
      <c r="A106" s="16">
        <v>0.73936312360447398</v>
      </c>
      <c r="B106" s="16"/>
      <c r="C106" s="17">
        <v>83</v>
      </c>
      <c r="D106" s="21">
        <f t="shared" ref="D106" si="102">phi*(Preis_Tm1-niveau)+niveau+sigma*Zufall</f>
        <v>40</v>
      </c>
      <c r="E106" s="32">
        <f t="shared" si="80"/>
        <v>45</v>
      </c>
      <c r="F106" s="32">
        <f t="shared" si="81"/>
        <v>35</v>
      </c>
      <c r="I106" s="14" t="s">
        <v>90</v>
      </c>
      <c r="J106" s="18"/>
      <c r="K106" s="19">
        <f t="shared" si="82"/>
        <v>0.5</v>
      </c>
      <c r="L106" s="19">
        <f t="shared" si="83"/>
        <v>5.5</v>
      </c>
      <c r="M106" s="19">
        <f t="shared" si="84"/>
        <v>0</v>
      </c>
    </row>
    <row r="107" spans="1:13" x14ac:dyDescent="0.25">
      <c r="A107" s="16">
        <v>1.71188778298155</v>
      </c>
      <c r="B107" s="16"/>
      <c r="C107" s="17">
        <v>84</v>
      </c>
      <c r="D107" s="21">
        <f t="shared" ref="D107" si="103">phi*(Preis_Tm1-niveau)+niveau+sigma*Zufall</f>
        <v>40</v>
      </c>
      <c r="E107" s="32">
        <f t="shared" si="80"/>
        <v>45</v>
      </c>
      <c r="F107" s="32">
        <f t="shared" si="81"/>
        <v>35</v>
      </c>
      <c r="I107" s="14" t="s">
        <v>91</v>
      </c>
      <c r="J107" s="18"/>
      <c r="K107" s="19">
        <f t="shared" si="82"/>
        <v>0.5</v>
      </c>
      <c r="L107" s="19">
        <f t="shared" si="83"/>
        <v>5.5</v>
      </c>
      <c r="M107" s="19">
        <f t="shared" si="84"/>
        <v>0</v>
      </c>
    </row>
    <row r="108" spans="1:13" x14ac:dyDescent="0.25">
      <c r="A108" s="16">
        <v>-0.19412353575826499</v>
      </c>
      <c r="B108" s="16"/>
      <c r="C108" s="17">
        <v>85</v>
      </c>
      <c r="D108" s="21">
        <f t="shared" ref="D108" si="104">phi*(Preis_Tm1-niveau)+niveau+sigma*Zufall</f>
        <v>40</v>
      </c>
      <c r="E108" s="32">
        <f t="shared" si="80"/>
        <v>45</v>
      </c>
      <c r="F108" s="32">
        <f t="shared" si="81"/>
        <v>35</v>
      </c>
      <c r="I108" s="14" t="s">
        <v>92</v>
      </c>
      <c r="J108" s="18"/>
      <c r="K108" s="19">
        <f t="shared" si="82"/>
        <v>0.5</v>
      </c>
      <c r="L108" s="19">
        <f t="shared" si="83"/>
        <v>5.5</v>
      </c>
      <c r="M108" s="19">
        <f t="shared" si="84"/>
        <v>0</v>
      </c>
    </row>
    <row r="109" spans="1:13" x14ac:dyDescent="0.25">
      <c r="A109" s="16">
        <v>-2.1383552694399399</v>
      </c>
      <c r="B109" s="16"/>
      <c r="C109" s="17">
        <v>86</v>
      </c>
      <c r="D109" s="21">
        <f t="shared" ref="D109" si="105">phi*(Preis_Tm1-niveau)+niveau+sigma*Zufall</f>
        <v>40</v>
      </c>
      <c r="E109" s="32">
        <f t="shared" si="80"/>
        <v>45</v>
      </c>
      <c r="F109" s="32">
        <f t="shared" si="81"/>
        <v>35</v>
      </c>
      <c r="I109" s="14" t="s">
        <v>93</v>
      </c>
      <c r="J109" s="18"/>
      <c r="K109" s="19">
        <f t="shared" si="82"/>
        <v>0.5</v>
      </c>
      <c r="L109" s="19">
        <f t="shared" si="83"/>
        <v>5.5</v>
      </c>
      <c r="M109" s="19">
        <f t="shared" si="84"/>
        <v>0</v>
      </c>
    </row>
    <row r="110" spans="1:13" x14ac:dyDescent="0.25">
      <c r="A110" s="16">
        <v>-0.83958874733661404</v>
      </c>
      <c r="B110" s="16"/>
      <c r="C110" s="17">
        <v>87</v>
      </c>
      <c r="D110" s="21">
        <f t="shared" ref="D110" si="106">phi*(Preis_Tm1-niveau)+niveau+sigma*Zufall</f>
        <v>40</v>
      </c>
      <c r="E110" s="32">
        <f t="shared" si="80"/>
        <v>45</v>
      </c>
      <c r="F110" s="32">
        <f t="shared" si="81"/>
        <v>35</v>
      </c>
      <c r="I110" s="14" t="s">
        <v>94</v>
      </c>
      <c r="J110" s="18"/>
      <c r="K110" s="19">
        <f t="shared" si="82"/>
        <v>0.5</v>
      </c>
      <c r="L110" s="19">
        <f t="shared" si="83"/>
        <v>5.5</v>
      </c>
      <c r="M110" s="19">
        <f t="shared" si="84"/>
        <v>0</v>
      </c>
    </row>
    <row r="111" spans="1:13" x14ac:dyDescent="0.25">
      <c r="A111" s="16">
        <v>1.35459432800464</v>
      </c>
      <c r="B111" s="16"/>
      <c r="C111" s="17">
        <v>88</v>
      </c>
      <c r="D111" s="21">
        <f t="shared" ref="D111" si="107">phi*(Preis_Tm1-niveau)+niveau+sigma*Zufall</f>
        <v>40</v>
      </c>
      <c r="E111" s="32">
        <f t="shared" si="80"/>
        <v>45</v>
      </c>
      <c r="F111" s="32">
        <f t="shared" si="81"/>
        <v>35</v>
      </c>
      <c r="I111" s="14" t="s">
        <v>95</v>
      </c>
      <c r="J111" s="18"/>
      <c r="K111" s="19">
        <f t="shared" si="82"/>
        <v>0.5</v>
      </c>
      <c r="L111" s="19">
        <f t="shared" si="83"/>
        <v>5.5</v>
      </c>
      <c r="M111" s="19">
        <f t="shared" si="84"/>
        <v>0</v>
      </c>
    </row>
    <row r="112" spans="1:13" x14ac:dyDescent="0.25">
      <c r="A112" s="16">
        <v>-1.07215528838425</v>
      </c>
      <c r="B112" s="16"/>
      <c r="C112" s="17">
        <v>89</v>
      </c>
      <c r="D112" s="21">
        <f t="shared" ref="D112" si="108">phi*(Preis_Tm1-niveau)+niveau+sigma*Zufall</f>
        <v>40</v>
      </c>
      <c r="E112" s="32">
        <f t="shared" si="80"/>
        <v>45</v>
      </c>
      <c r="F112" s="32">
        <f t="shared" si="81"/>
        <v>35</v>
      </c>
      <c r="I112" s="14" t="s">
        <v>96</v>
      </c>
      <c r="J112" s="18"/>
      <c r="K112" s="19">
        <f t="shared" si="82"/>
        <v>0.5</v>
      </c>
      <c r="L112" s="19">
        <f t="shared" si="83"/>
        <v>5.5</v>
      </c>
      <c r="M112" s="19">
        <f t="shared" si="84"/>
        <v>0</v>
      </c>
    </row>
    <row r="113" spans="1:13" x14ac:dyDescent="0.25">
      <c r="A113" s="16">
        <v>0.96095386974056696</v>
      </c>
      <c r="B113" s="16"/>
      <c r="C113" s="17">
        <v>90</v>
      </c>
      <c r="D113" s="21">
        <f t="shared" ref="D113" si="109">phi*(Preis_Tm1-niveau)+niveau+sigma*Zufall</f>
        <v>40</v>
      </c>
      <c r="E113" s="32">
        <f t="shared" si="80"/>
        <v>45</v>
      </c>
      <c r="F113" s="32">
        <f t="shared" si="81"/>
        <v>35</v>
      </c>
      <c r="I113" s="14" t="s">
        <v>97</v>
      </c>
      <c r="J113" s="18"/>
      <c r="K113" s="19">
        <f t="shared" si="82"/>
        <v>0.5</v>
      </c>
      <c r="L113" s="19">
        <f t="shared" si="83"/>
        <v>5.5</v>
      </c>
      <c r="M113" s="19">
        <f t="shared" si="84"/>
        <v>0</v>
      </c>
    </row>
    <row r="114" spans="1:13" x14ac:dyDescent="0.25">
      <c r="A114" s="16">
        <v>0.124049800003193</v>
      </c>
      <c r="B114" s="16"/>
      <c r="C114" s="17">
        <v>91</v>
      </c>
      <c r="D114" s="21">
        <f t="shared" ref="D114" si="110">phi*(Preis_Tm1-niveau)+niveau+sigma*Zufall</f>
        <v>40</v>
      </c>
      <c r="E114" s="32">
        <f t="shared" si="80"/>
        <v>45</v>
      </c>
      <c r="F114" s="32">
        <f t="shared" si="81"/>
        <v>35</v>
      </c>
      <c r="I114" s="14" t="s">
        <v>98</v>
      </c>
      <c r="J114" s="18"/>
      <c r="K114" s="19">
        <f t="shared" si="82"/>
        <v>0.5</v>
      </c>
      <c r="L114" s="19">
        <f t="shared" si="83"/>
        <v>5.5</v>
      </c>
      <c r="M114" s="19">
        <f t="shared" si="84"/>
        <v>0</v>
      </c>
    </row>
    <row r="115" spans="1:13" x14ac:dyDescent="0.25">
      <c r="A115" s="16">
        <v>1.4366966227189399</v>
      </c>
      <c r="B115" s="16"/>
      <c r="C115" s="17">
        <v>92</v>
      </c>
      <c r="D115" s="21">
        <f t="shared" ref="D115" si="111">phi*(Preis_Tm1-niveau)+niveau+sigma*Zufall</f>
        <v>40</v>
      </c>
      <c r="E115" s="32">
        <f t="shared" si="80"/>
        <v>45</v>
      </c>
      <c r="F115" s="32">
        <f t="shared" si="81"/>
        <v>35</v>
      </c>
      <c r="I115" s="14" t="s">
        <v>99</v>
      </c>
      <c r="J115" s="18"/>
      <c r="K115" s="19">
        <f t="shared" si="82"/>
        <v>0.5</v>
      </c>
      <c r="L115" s="19">
        <f t="shared" si="83"/>
        <v>5.5</v>
      </c>
      <c r="M115" s="19">
        <f t="shared" si="84"/>
        <v>0</v>
      </c>
    </row>
    <row r="116" spans="1:13" x14ac:dyDescent="0.25">
      <c r="A116" s="16">
        <v>-1.96089999936503</v>
      </c>
      <c r="B116" s="16"/>
      <c r="C116" s="17">
        <v>93</v>
      </c>
      <c r="D116" s="21">
        <f t="shared" ref="D116" si="112">phi*(Preis_Tm1-niveau)+niveau+sigma*Zufall</f>
        <v>40</v>
      </c>
      <c r="E116" s="32">
        <f t="shared" si="80"/>
        <v>45</v>
      </c>
      <c r="F116" s="32">
        <f t="shared" si="81"/>
        <v>35</v>
      </c>
      <c r="I116" s="14" t="s">
        <v>100</v>
      </c>
      <c r="J116" s="18"/>
      <c r="K116" s="19">
        <f t="shared" si="82"/>
        <v>0.5</v>
      </c>
      <c r="L116" s="19">
        <f t="shared" si="83"/>
        <v>5.5</v>
      </c>
      <c r="M116" s="19">
        <f t="shared" si="84"/>
        <v>0</v>
      </c>
    </row>
    <row r="117" spans="1:13" x14ac:dyDescent="0.25">
      <c r="A117" s="16">
        <v>-0.19769822597414999</v>
      </c>
      <c r="B117" s="16"/>
      <c r="C117" s="17">
        <v>94</v>
      </c>
      <c r="D117" s="21">
        <f t="shared" ref="D117" si="113">phi*(Preis_Tm1-niveau)+niveau+sigma*Zufall</f>
        <v>40</v>
      </c>
      <c r="E117" s="32">
        <f t="shared" si="80"/>
        <v>45</v>
      </c>
      <c r="F117" s="32">
        <f t="shared" si="81"/>
        <v>35</v>
      </c>
      <c r="I117" s="14" t="s">
        <v>101</v>
      </c>
      <c r="J117" s="18"/>
      <c r="K117" s="19">
        <f t="shared" si="82"/>
        <v>0.5</v>
      </c>
      <c r="L117" s="19">
        <f t="shared" si="83"/>
        <v>5.5</v>
      </c>
      <c r="M117" s="19">
        <f t="shared" si="84"/>
        <v>0</v>
      </c>
    </row>
    <row r="118" spans="1:13" x14ac:dyDescent="0.25">
      <c r="A118" s="16">
        <v>-1.2078454852598</v>
      </c>
      <c r="B118" s="16"/>
      <c r="C118" s="17">
        <v>95</v>
      </c>
      <c r="D118" s="21">
        <f t="shared" ref="D118" si="114">phi*(Preis_Tm1-niveau)+niveau+sigma*Zufall</f>
        <v>40</v>
      </c>
      <c r="E118" s="32">
        <f t="shared" si="80"/>
        <v>45</v>
      </c>
      <c r="F118" s="32">
        <f t="shared" si="81"/>
        <v>35</v>
      </c>
      <c r="I118" s="14" t="s">
        <v>102</v>
      </c>
      <c r="J118" s="18"/>
      <c r="K118" s="19">
        <f t="shared" si="82"/>
        <v>0.5</v>
      </c>
      <c r="L118" s="19">
        <f t="shared" si="83"/>
        <v>5.5</v>
      </c>
      <c r="M118" s="19">
        <f t="shared" si="84"/>
        <v>0</v>
      </c>
    </row>
    <row r="119" spans="1:13" x14ac:dyDescent="0.25">
      <c r="A119" s="16">
        <v>2.9080080307293601</v>
      </c>
      <c r="B119" s="16"/>
      <c r="C119" s="17">
        <v>96</v>
      </c>
      <c r="D119" s="21">
        <f t="shared" ref="D119" si="115">phi*(Preis_Tm1-niveau)+niveau+sigma*Zufall</f>
        <v>40</v>
      </c>
      <c r="E119" s="32">
        <f t="shared" si="80"/>
        <v>45</v>
      </c>
      <c r="F119" s="32">
        <f t="shared" si="81"/>
        <v>35</v>
      </c>
      <c r="I119" s="14" t="s">
        <v>103</v>
      </c>
      <c r="J119" s="18"/>
      <c r="K119" s="19">
        <f t="shared" si="82"/>
        <v>0.5</v>
      </c>
      <c r="L119" s="19">
        <f t="shared" si="83"/>
        <v>5.5</v>
      </c>
      <c r="M119" s="19">
        <f t="shared" si="84"/>
        <v>0</v>
      </c>
    </row>
    <row r="120" spans="1:13" x14ac:dyDescent="0.25">
      <c r="A120" s="16">
        <v>0.82521889422849104</v>
      </c>
      <c r="B120" s="16"/>
      <c r="C120" s="17">
        <v>97</v>
      </c>
      <c r="D120" s="21">
        <f t="shared" ref="D120" si="116">phi*(Preis_Tm1-niveau)+niveau+sigma*Zufall</f>
        <v>40</v>
      </c>
      <c r="E120" s="32">
        <f t="shared" ref="E120:E123" si="117">D120+dx</f>
        <v>45</v>
      </c>
      <c r="F120" s="32">
        <f t="shared" si="81"/>
        <v>35</v>
      </c>
      <c r="I120" s="14" t="s">
        <v>104</v>
      </c>
      <c r="J120" s="18"/>
      <c r="K120" s="19">
        <f t="shared" si="82"/>
        <v>0.5</v>
      </c>
      <c r="L120" s="19">
        <f t="shared" si="83"/>
        <v>5.5</v>
      </c>
      <c r="M120" s="19">
        <f t="shared" si="84"/>
        <v>0</v>
      </c>
    </row>
    <row r="121" spans="1:13" x14ac:dyDescent="0.25">
      <c r="A121" s="16">
        <v>1.3789719779166101</v>
      </c>
      <c r="B121" s="16"/>
      <c r="C121" s="17">
        <v>98</v>
      </c>
      <c r="D121" s="21">
        <f t="shared" ref="D121" si="118">phi*(Preis_Tm1-niveau)+niveau+sigma*Zufall</f>
        <v>40</v>
      </c>
      <c r="E121" s="32">
        <f t="shared" si="117"/>
        <v>45</v>
      </c>
      <c r="F121" s="32">
        <f t="shared" si="81"/>
        <v>35</v>
      </c>
      <c r="I121" s="14" t="s">
        <v>105</v>
      </c>
      <c r="J121" s="18"/>
      <c r="K121" s="19">
        <f t="shared" si="82"/>
        <v>0.5</v>
      </c>
      <c r="L121" s="19">
        <f t="shared" si="83"/>
        <v>5.5</v>
      </c>
      <c r="M121" s="19">
        <f t="shared" si="84"/>
        <v>0</v>
      </c>
    </row>
    <row r="122" spans="1:13" x14ac:dyDescent="0.25">
      <c r="A122" s="16">
        <v>-1.05818025798736</v>
      </c>
      <c r="B122" s="16"/>
      <c r="C122" s="17">
        <v>99</v>
      </c>
      <c r="D122" s="21">
        <f t="shared" ref="D122" si="119">phi*(Preis_Tm1-niveau)+niveau+sigma*Zufall</f>
        <v>40</v>
      </c>
      <c r="E122" s="32">
        <f t="shared" si="117"/>
        <v>45</v>
      </c>
      <c r="F122" s="32">
        <f t="shared" si="81"/>
        <v>35</v>
      </c>
      <c r="I122" s="14" t="s">
        <v>106</v>
      </c>
      <c r="J122" s="18"/>
      <c r="K122" s="19">
        <f t="shared" si="82"/>
        <v>0.5</v>
      </c>
      <c r="L122" s="19">
        <f t="shared" si="83"/>
        <v>5.5</v>
      </c>
      <c r="M122" s="19">
        <f t="shared" si="84"/>
        <v>0</v>
      </c>
    </row>
    <row r="123" spans="1:13" x14ac:dyDescent="0.25">
      <c r="A123" s="16">
        <v>-0.46861558110062401</v>
      </c>
      <c r="B123" s="16"/>
      <c r="C123" s="17">
        <v>100</v>
      </c>
      <c r="D123" s="21">
        <f t="shared" ref="D123" si="120">phi*(Preis_Tm1-niveau)+niveau+sigma*Zufall</f>
        <v>40</v>
      </c>
      <c r="E123" s="32">
        <f t="shared" si="117"/>
        <v>45</v>
      </c>
      <c r="F123" s="32">
        <f t="shared" si="81"/>
        <v>35</v>
      </c>
      <c r="I123" s="14" t="s">
        <v>107</v>
      </c>
      <c r="J123" s="18"/>
      <c r="K123" s="19">
        <f t="shared" si="82"/>
        <v>0.5</v>
      </c>
      <c r="L123" s="19">
        <f t="shared" si="83"/>
        <v>5.5</v>
      </c>
      <c r="M123" s="19">
        <f t="shared" si="84"/>
        <v>0</v>
      </c>
    </row>
  </sheetData>
  <mergeCells count="3">
    <mergeCell ref="O20:T20"/>
    <mergeCell ref="I19:K19"/>
    <mergeCell ref="C19:F19"/>
  </mergeCells>
  <pageMargins left="0.7" right="0.7" top="0.78740157499999996" bottom="0.78740157499999996" header="0.3" footer="0.3"/>
  <pageSetup paperSize="9"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13</vt:i4>
      </vt:variant>
    </vt:vector>
  </HeadingPairs>
  <TitlesOfParts>
    <vt:vector size="14" baseType="lpstr">
      <vt:lpstr>Delta</vt:lpstr>
      <vt:lpstr>CF</vt:lpstr>
      <vt:lpstr>CFdown</vt:lpstr>
      <vt:lpstr>CFup</vt:lpstr>
      <vt:lpstr>dx</vt:lpstr>
      <vt:lpstr>K</vt:lpstr>
      <vt:lpstr>niveau</vt:lpstr>
      <vt:lpstr>phi</vt:lpstr>
      <vt:lpstr>Preis_T</vt:lpstr>
      <vt:lpstr>Preis_Tm1</vt:lpstr>
      <vt:lpstr>Preisdown</vt:lpstr>
      <vt:lpstr>Preisup</vt:lpstr>
      <vt:lpstr>sigma</vt:lpstr>
      <vt:lpstr>Zufall</vt:lpstr>
    </vt:vector>
  </TitlesOfParts>
  <Company>FH Aachen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Schemm, Ralf</dc:creator>
  <cp:lastModifiedBy>Paul Krüger</cp:lastModifiedBy>
  <dcterms:created xsi:type="dcterms:W3CDTF">2020-12-17T10:21:52Z</dcterms:created>
  <dcterms:modified xsi:type="dcterms:W3CDTF">2021-02-21T20:12:45Z</dcterms:modified>
</cp:coreProperties>
</file>