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VeraChen/Desktop/"/>
    </mc:Choice>
  </mc:AlternateContent>
  <xr:revisionPtr revIDLastSave="0" documentId="13_ncr:1_{188880E5-5BB4-8A47-9E95-EADC9994D6B1}" xr6:coauthVersionLast="47" xr6:coauthVersionMax="47" xr10:uidLastSave="{00000000-0000-0000-0000-000000000000}"/>
  <bookViews>
    <workbookView xWindow="1060" yWindow="500" windowWidth="24540" windowHeight="15500" xr2:uid="{F51BA5B2-29F7-BA41-BB7F-1792E7AC81C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1" i="1" l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00" i="1" l="1"/>
  <c r="D99" i="1"/>
  <c r="F99" i="1" s="1"/>
  <c r="D98" i="1"/>
  <c r="D97" i="1"/>
  <c r="D96" i="1"/>
  <c r="D95" i="1"/>
  <c r="D94" i="1"/>
  <c r="D93" i="1"/>
  <c r="D92" i="1"/>
  <c r="D91" i="1"/>
  <c r="D90" i="1"/>
  <c r="F90" i="1" s="1"/>
  <c r="D89" i="1"/>
  <c r="F89" i="1" s="1"/>
  <c r="D88" i="1"/>
  <c r="D87" i="1"/>
  <c r="D86" i="1"/>
  <c r="F86" i="1" s="1"/>
  <c r="D85" i="1"/>
  <c r="D84" i="1"/>
  <c r="D83" i="1"/>
  <c r="F83" i="1" s="1"/>
  <c r="D39" i="1"/>
  <c r="F39" i="1" s="1"/>
  <c r="D38" i="1"/>
  <c r="D37" i="1"/>
  <c r="D36" i="1"/>
  <c r="D35" i="1"/>
  <c r="D34" i="1"/>
  <c r="D33" i="1"/>
  <c r="D32" i="1"/>
  <c r="F32" i="1" s="1"/>
  <c r="D31" i="1"/>
  <c r="D30" i="1"/>
  <c r="D29" i="1"/>
  <c r="F29" i="1" s="1"/>
  <c r="D28" i="1"/>
  <c r="D27" i="1"/>
  <c r="D26" i="1"/>
  <c r="D25" i="1"/>
  <c r="F25" i="1" s="1"/>
  <c r="D24" i="1"/>
  <c r="D23" i="1"/>
  <c r="F23" i="1" s="1"/>
  <c r="D22" i="1"/>
  <c r="D21" i="1"/>
  <c r="D20" i="1"/>
  <c r="F20" i="1" s="1"/>
  <c r="D19" i="1"/>
  <c r="D18" i="1"/>
  <c r="F18" i="1" s="1"/>
  <c r="D17" i="1"/>
  <c r="D16" i="1"/>
  <c r="F16" i="1" s="1"/>
  <c r="D15" i="1"/>
  <c r="F15" i="1" s="1"/>
  <c r="D14" i="1"/>
  <c r="F14" i="1" s="1"/>
  <c r="D13" i="1"/>
  <c r="F13" i="1" s="1"/>
  <c r="D12" i="1"/>
  <c r="F12" i="1" s="1"/>
  <c r="D11" i="1"/>
  <c r="D10" i="1"/>
  <c r="D9" i="1"/>
  <c r="D8" i="1"/>
  <c r="F8" i="1" s="1"/>
  <c r="D7" i="1"/>
  <c r="F7" i="1" s="1"/>
  <c r="D6" i="1"/>
  <c r="F6" i="1" s="1"/>
  <c r="D5" i="1"/>
  <c r="D4" i="1"/>
  <c r="D3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00" i="1"/>
  <c r="F95" i="1"/>
  <c r="F94" i="1"/>
  <c r="F93" i="1"/>
  <c r="F92" i="1"/>
  <c r="F88" i="1"/>
  <c r="F87" i="1"/>
  <c r="F85" i="1"/>
  <c r="F84" i="1"/>
  <c r="F98" i="1"/>
  <c r="F97" i="1"/>
  <c r="F96" i="1"/>
  <c r="F91" i="1"/>
  <c r="F36" i="1"/>
  <c r="F35" i="1"/>
  <c r="F34" i="1"/>
  <c r="F28" i="1"/>
  <c r="F27" i="1"/>
  <c r="F26" i="1"/>
  <c r="F24" i="1"/>
  <c r="F22" i="1"/>
  <c r="F38" i="1"/>
  <c r="F37" i="1"/>
  <c r="F33" i="1"/>
  <c r="F31" i="1"/>
  <c r="F30" i="1"/>
  <c r="F9" i="1"/>
  <c r="F17" i="1"/>
  <c r="F19" i="1"/>
  <c r="F21" i="1"/>
  <c r="F11" i="1"/>
  <c r="F4" i="1"/>
  <c r="F3" i="1"/>
  <c r="F10" i="1"/>
  <c r="F5" i="1"/>
  <c r="H19" i="1"/>
  <c r="H20" i="1"/>
  <c r="H21" i="1"/>
  <c r="H22" i="1"/>
  <c r="H18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tc={8B5F0794-8643-FC40-AA9B-A47347F3FE89}</author>
  </authors>
  <commentList>
    <comment ref="B2" authorId="0" shapeId="0" xr:uid="{8B5F0794-8643-FC40-AA9B-A47347F3FE89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use the latin names provided in the field guide on Moodle</t>
      </text>
    </comment>
  </commentList>
</comments>
</file>

<file path=xl/sharedStrings.xml><?xml version="1.0" encoding="utf-8"?>
<sst xmlns="http://schemas.openxmlformats.org/spreadsheetml/2006/main" count="461" uniqueCount="31">
  <si>
    <t>Tree-level metrics</t>
  </si>
  <si>
    <t>Plot-level metrics (repeat the values in all rows)</t>
  </si>
  <si>
    <t>Tree #</t>
  </si>
  <si>
    <t>Species (latin name)</t>
  </si>
  <si>
    <t>Plot (mixed vs. mono)</t>
  </si>
  <si>
    <t>DBH (in cm)</t>
  </si>
  <si>
    <t>Height (in m)</t>
  </si>
  <si>
    <t>Aboveground biomass (in kg)</t>
  </si>
  <si>
    <t>LAI (m²/m²)</t>
  </si>
  <si>
    <t>Shannon index</t>
  </si>
  <si>
    <t>Soil pH</t>
  </si>
  <si>
    <t>IBP</t>
  </si>
  <si>
    <t>Picea Abies</t>
  </si>
  <si>
    <t>Abies Alba</t>
  </si>
  <si>
    <t>Group</t>
  </si>
  <si>
    <t>Mixed</t>
  </si>
  <si>
    <t>Mono</t>
  </si>
  <si>
    <t>Castanea sativa</t>
  </si>
  <si>
    <t>Castanea Sativa</t>
  </si>
  <si>
    <t>Fagus Sylvatica</t>
  </si>
  <si>
    <t>Quercus Robur</t>
  </si>
  <si>
    <t>Picea</t>
  </si>
  <si>
    <t>NA</t>
  </si>
  <si>
    <t>Alnus Glutanosa</t>
  </si>
  <si>
    <t>Corylus Avellana</t>
  </si>
  <si>
    <t>Sambucus Racemosa</t>
  </si>
  <si>
    <t>Quercus Petraea</t>
  </si>
  <si>
    <t>Picea Abies (mort)</t>
  </si>
  <si>
    <t>Castanea Dentata</t>
  </si>
  <si>
    <t>arbre mort</t>
  </si>
  <si>
    <t>Pinus Sylvestris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</si>
</sst>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0.0"/>
    <numFmt numFmtId="170" formatCode="0.000"/>
  </numFmts>
  <fonts count="7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5"/>
      <color rgb="FFFFFFFF"/>
      <name val="Aptos Narrow"/>
      <scheme val="minor"/>
    </font>
    <font>
      <b/>
      <sz val="12"/>
      <color rgb="FF000000"/>
      <name val="Aptos Narrow"/>
      <scheme val="minor"/>
    </font>
    <font>
      <sz val="12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8">
    <xf numFmtId="0" fontId="0" fillId="0" borderId="0" xfId="0"/>
    <xf numFmtId="0" fontId="1" fillId="0" borderId="0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3" fillId="0" borderId="0" xfId="0" applyFont="1" applyFill="1"/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2" fontId="3" fillId="0" borderId="7" xfId="0" applyNumberFormat="1" applyFont="1" applyFill="1" applyBorder="1"/>
    <xf numFmtId="2" fontId="1" fillId="0" borderId="1" xfId="0" applyNumberFormat="1" applyFont="1" applyFill="1" applyBorder="1"/>
    <xf numFmtId="0" fontId="4" fillId="0" borderId="0" xfId="0" applyFont="1" applyFill="1"/>
    <xf numFmtId="0" fontId="1" fillId="0" borderId="1" xfId="0" applyFont="1" applyFill="1" applyBorder="1"/>
    <xf numFmtId="0" fontId="3" fillId="0" borderId="6" xfId="0" applyFont="1" applyFill="1" applyBorder="1"/>
    <xf numFmtId="0" fontId="3" fillId="0" borderId="1" xfId="0" applyFont="1" applyFill="1" applyBorder="1"/>
    <xf numFmtId="0" fontId="3" fillId="0" borderId="7" xfId="0" applyFont="1" applyFill="1" applyBorder="1"/>
    <xf numFmtId="165" fontId="1" fillId="0" borderId="1" xfId="0" applyNumberFormat="1" applyFont="1" applyFill="1" applyBorder="1"/>
    <xf numFmtId="0" fontId="1" fillId="0" borderId="1" xfId="0" applyFont="1" applyFill="1" applyBorder="1" applyAlignment="1">
      <alignment horizontal="left" vertical="center"/>
    </xf>
    <xf numFmtId="2" fontId="1" fillId="0" borderId="1" xfId="0" applyNumberFormat="1" applyFont="1" applyFill="1" applyBorder="1" applyAlignment="1">
      <alignment horizontal="right" vertical="center"/>
    </xf>
    <xf numFmtId="0" fontId="1" fillId="0" borderId="1" xfId="0" applyFont="1" applyFill="1" applyBorder="1" applyAlignment="1">
      <alignment horizontal="right" vertical="center"/>
    </xf>
    <xf numFmtId="2" fontId="3" fillId="0" borderId="1" xfId="0" applyNumberFormat="1" applyFont="1" applyFill="1" applyBorder="1"/>
    <xf numFmtId="0" fontId="1" fillId="0" borderId="0" xfId="0" applyFont="1" applyFill="1"/>
    <xf numFmtId="2" fontId="3" fillId="0" borderId="7" xfId="1" applyNumberFormat="1" applyFont="1" applyFill="1" applyBorder="1"/>
    <xf numFmtId="1" fontId="3" fillId="0" borderId="7" xfId="0" applyNumberFormat="1" applyFont="1" applyFill="1" applyBorder="1"/>
    <xf numFmtId="0" fontId="1" fillId="0" borderId="11" xfId="0" applyFont="1" applyFill="1" applyBorder="1"/>
    <xf numFmtId="2" fontId="1" fillId="0" borderId="11" xfId="0" applyNumberFormat="1" applyFont="1" applyFill="1" applyBorder="1"/>
    <xf numFmtId="2" fontId="3" fillId="0" borderId="12" xfId="0" applyNumberFormat="1" applyFont="1" applyFill="1" applyBorder="1"/>
    <xf numFmtId="165" fontId="3" fillId="0" borderId="7" xfId="0" applyNumberFormat="1" applyFont="1" applyFill="1" applyBorder="1"/>
    <xf numFmtId="0" fontId="5" fillId="0" borderId="1" xfId="0" applyFont="1" applyFill="1" applyBorder="1"/>
    <xf numFmtId="2" fontId="5" fillId="0" borderId="1" xfId="1" applyNumberFormat="1" applyFont="1" applyFill="1" applyBorder="1"/>
    <xf numFmtId="165" fontId="5" fillId="0" borderId="1" xfId="1" applyNumberFormat="1" applyFont="1" applyFill="1" applyBorder="1"/>
    <xf numFmtId="2" fontId="6" fillId="0" borderId="7" xfId="1" applyNumberFormat="1" applyFont="1" applyFill="1" applyBorder="1"/>
    <xf numFmtId="0" fontId="3" fillId="0" borderId="7" xfId="0" applyFont="1" applyFill="1" applyBorder="1" applyAlignment="1">
      <alignment horizontal="center" vertical="center"/>
    </xf>
    <xf numFmtId="2" fontId="3" fillId="0" borderId="7" xfId="0" applyNumberFormat="1" applyFont="1" applyFill="1" applyBorder="1" applyAlignment="1">
      <alignment horizontal="right" vertical="center"/>
    </xf>
    <xf numFmtId="0" fontId="1" fillId="0" borderId="9" xfId="0" applyFont="1" applyFill="1" applyBorder="1"/>
    <xf numFmtId="165" fontId="1" fillId="0" borderId="9" xfId="0" applyNumberFormat="1" applyFont="1" applyFill="1" applyBorder="1"/>
    <xf numFmtId="2" fontId="3" fillId="0" borderId="10" xfId="1" applyNumberFormat="1" applyFont="1" applyFill="1" applyBorder="1"/>
    <xf numFmtId="0" fontId="3" fillId="0" borderId="11" xfId="0" applyFont="1" applyFill="1" applyBorder="1"/>
    <xf numFmtId="0" fontId="3" fillId="0" borderId="9" xfId="0" applyFont="1" applyFill="1" applyBorder="1"/>
    <xf numFmtId="0" fontId="1" fillId="0" borderId="1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0" borderId="13" xfId="0" applyFont="1" applyFill="1" applyBorder="1"/>
    <xf numFmtId="170" fontId="3" fillId="0" borderId="11" xfId="0" applyNumberFormat="1" applyFont="1" applyFill="1" applyBorder="1"/>
    <xf numFmtId="0" fontId="3" fillId="0" borderId="12" xfId="0" applyFont="1" applyFill="1" applyBorder="1"/>
    <xf numFmtId="170" fontId="3" fillId="0" borderId="1" xfId="0" applyNumberFormat="1" applyFont="1" applyFill="1" applyBorder="1"/>
    <xf numFmtId="2" fontId="6" fillId="0" borderId="6" xfId="1" applyNumberFormat="1" applyFont="1" applyFill="1" applyBorder="1"/>
    <xf numFmtId="170" fontId="6" fillId="0" borderId="1" xfId="1" applyNumberFormat="1" applyFont="1" applyFill="1" applyBorder="1"/>
    <xf numFmtId="2" fontId="6" fillId="0" borderId="1" xfId="1" applyNumberFormat="1" applyFont="1" applyFill="1" applyBorder="1"/>
    <xf numFmtId="1" fontId="6" fillId="0" borderId="7" xfId="1" applyNumberFormat="1" applyFont="1" applyFill="1" applyBorder="1"/>
    <xf numFmtId="1" fontId="3" fillId="0" borderId="7" xfId="1" applyNumberFormat="1" applyFont="1" applyFill="1" applyBorder="1"/>
    <xf numFmtId="39" fontId="6" fillId="0" borderId="1" xfId="1" applyNumberFormat="1" applyFont="1" applyFill="1" applyBorder="1"/>
    <xf numFmtId="0" fontId="3" fillId="0" borderId="6" xfId="0" applyFont="1" applyFill="1" applyBorder="1" applyAlignment="1">
      <alignment horizontal="right"/>
    </xf>
    <xf numFmtId="0" fontId="3" fillId="0" borderId="6" xfId="0" applyFont="1" applyFill="1" applyBorder="1" applyAlignment="1">
      <alignment horizontal="right" vertical="center"/>
    </xf>
    <xf numFmtId="0" fontId="3" fillId="0" borderId="8" xfId="0" applyFont="1" applyFill="1" applyBorder="1"/>
    <xf numFmtId="1" fontId="3" fillId="0" borderId="10" xfId="0" applyNumberFormat="1" applyFont="1" applyFill="1" applyBorder="1"/>
    <xf numFmtId="0" fontId="1" fillId="0" borderId="2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arlotte Grossiord" id="{D834F808-54B2-0C4E-B4A4-6A41198EA026}" userId="S::charlotte.grossiord@wsl.ch::81d5e498-a7ae-4007-b872-c94d21631f5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5-07-29T11:55:03.76" personId="{D834F808-54B2-0C4E-B4A4-6A41198EA026}" id="{8B5F0794-8643-FC40-AA9B-A47347F3FE89}">
    <text>Please use the latin names provided in the field guide on Moodle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032D6-F570-7340-86AA-FB8271BEC541}">
  <dimension ref="A1:L211"/>
  <sheetViews>
    <sheetView tabSelected="1" topLeftCell="A182" workbookViewId="0">
      <selection activeCell="B209" sqref="B209"/>
    </sheetView>
  </sheetViews>
  <sheetFormatPr baseColWidth="10" defaultColWidth="11" defaultRowHeight="16" x14ac:dyDescent="0.2"/>
  <cols>
    <col min="1" max="1" width="11.1640625" style="42" bestFit="1" customWidth="1"/>
    <col min="2" max="2" width="22.83203125" style="21" customWidth="1"/>
    <col min="3" max="3" width="19" style="21" bestFit="1" customWidth="1"/>
    <col min="4" max="4" width="13.5" style="21" customWidth="1"/>
    <col min="5" max="5" width="14.6640625" style="21" customWidth="1"/>
    <col min="6" max="6" width="25.1640625" style="5" bestFit="1" customWidth="1"/>
    <col min="7" max="7" width="13.1640625" style="5" customWidth="1"/>
    <col min="8" max="8" width="17.83203125" style="5" bestFit="1" customWidth="1"/>
    <col min="9" max="9" width="12.83203125" style="5" customWidth="1"/>
    <col min="10" max="10" width="13" style="5" customWidth="1"/>
    <col min="11" max="11" width="11" style="42"/>
    <col min="12" max="16384" width="11" style="5"/>
  </cols>
  <sheetData>
    <row r="1" spans="1:12" ht="17" thickBot="1" x14ac:dyDescent="0.25">
      <c r="A1" s="2" t="s">
        <v>0</v>
      </c>
      <c r="B1" s="3"/>
      <c r="C1" s="3"/>
      <c r="D1" s="3"/>
      <c r="E1" s="3"/>
      <c r="F1" s="4"/>
      <c r="G1" s="2" t="s">
        <v>1</v>
      </c>
      <c r="H1" s="3"/>
      <c r="I1" s="3"/>
      <c r="J1" s="4"/>
    </row>
    <row r="2" spans="1:12" ht="17" thickBot="1" x14ac:dyDescent="0.25">
      <c r="A2" s="6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8" t="s">
        <v>7</v>
      </c>
      <c r="G2" s="6" t="s">
        <v>8</v>
      </c>
      <c r="H2" s="7" t="s">
        <v>9</v>
      </c>
      <c r="I2" s="7" t="s">
        <v>10</v>
      </c>
      <c r="J2" s="8" t="s">
        <v>11</v>
      </c>
      <c r="K2" s="1" t="s">
        <v>14</v>
      </c>
    </row>
    <row r="3" spans="1:12" x14ac:dyDescent="0.2">
      <c r="A3" s="39">
        <v>1</v>
      </c>
      <c r="B3" s="24" t="s">
        <v>12</v>
      </c>
      <c r="C3" s="24" t="s">
        <v>15</v>
      </c>
      <c r="D3" s="25">
        <f>11/PI()</f>
        <v>3.5014087480216975</v>
      </c>
      <c r="E3" s="25">
        <v>3.5</v>
      </c>
      <c r="F3" s="26">
        <f>EXP(-2.8+1.8*LN(D3)+0.8*LN(E3))</f>
        <v>1.5807636788388071</v>
      </c>
      <c r="G3" s="43">
        <v>6.41</v>
      </c>
      <c r="H3" s="44">
        <f>-1*SUM(7/15*LN(7/15), 5/15*LN(5/15), 2/15*LN(2/15), 1/15*LN(1/15))</f>
        <v>1.1710598699903711</v>
      </c>
      <c r="I3" s="37">
        <v>4.8899999999999997</v>
      </c>
      <c r="J3" s="45">
        <v>25</v>
      </c>
      <c r="K3" s="1">
        <v>1</v>
      </c>
    </row>
    <row r="4" spans="1:12" x14ac:dyDescent="0.2">
      <c r="A4" s="40">
        <v>2</v>
      </c>
      <c r="B4" s="12" t="s">
        <v>12</v>
      </c>
      <c r="C4" s="12" t="s">
        <v>15</v>
      </c>
      <c r="D4" s="10">
        <f>38/PI()</f>
        <v>12.095775674984045</v>
      </c>
      <c r="E4" s="10">
        <v>10.3</v>
      </c>
      <c r="F4" s="9">
        <f>EXP(-2.8+1.8*LN(D4)+0.8*LN(E4))</f>
        <v>34.912900724335145</v>
      </c>
      <c r="G4" s="13">
        <v>6.41</v>
      </c>
      <c r="H4" s="46">
        <f t="shared" ref="H4:H17" si="0">-1*SUM(7/15*LN(7/15), 5/15*LN(5/15), 2/15*LN(2/15), 1/15*LN(1/15))</f>
        <v>1.1710598699903711</v>
      </c>
      <c r="I4" s="14">
        <v>4.8899999999999997</v>
      </c>
      <c r="J4" s="15">
        <v>25</v>
      </c>
      <c r="K4" s="1">
        <v>1</v>
      </c>
    </row>
    <row r="5" spans="1:12" x14ac:dyDescent="0.2">
      <c r="A5" s="40">
        <v>3</v>
      </c>
      <c r="B5" s="12" t="s">
        <v>19</v>
      </c>
      <c r="C5" s="12" t="s">
        <v>15</v>
      </c>
      <c r="D5" s="10">
        <f>5/PI()</f>
        <v>1.5915494309189535</v>
      </c>
      <c r="E5" s="10">
        <v>3.9</v>
      </c>
      <c r="F5" s="9">
        <f>EXP(-2.98+2.12*LN(D5)+0.65*LN(E5))</f>
        <v>0.32949825396346005</v>
      </c>
      <c r="G5" s="13">
        <v>6.41</v>
      </c>
      <c r="H5" s="46">
        <f t="shared" si="0"/>
        <v>1.1710598699903711</v>
      </c>
      <c r="I5" s="14">
        <v>4.8899999999999997</v>
      </c>
      <c r="J5" s="15">
        <v>25</v>
      </c>
      <c r="K5" s="1">
        <v>1</v>
      </c>
    </row>
    <row r="6" spans="1:12" x14ac:dyDescent="0.2">
      <c r="A6" s="40">
        <v>4</v>
      </c>
      <c r="B6" s="12" t="s">
        <v>19</v>
      </c>
      <c r="C6" s="12" t="s">
        <v>15</v>
      </c>
      <c r="D6" s="10">
        <f>22/PI()</f>
        <v>7.0028174960433951</v>
      </c>
      <c r="E6" s="10">
        <v>9.9</v>
      </c>
      <c r="F6" s="9">
        <f>EXP(-2.98+2.12*LN(D6)+0.65*LN(E6))</f>
        <v>13.961872691043997</v>
      </c>
      <c r="G6" s="13">
        <v>6.41</v>
      </c>
      <c r="H6" s="46">
        <f t="shared" si="0"/>
        <v>1.1710598699903711</v>
      </c>
      <c r="I6" s="14">
        <v>4.8899999999999997</v>
      </c>
      <c r="J6" s="15">
        <v>25</v>
      </c>
      <c r="K6" s="1">
        <v>1</v>
      </c>
    </row>
    <row r="7" spans="1:12" x14ac:dyDescent="0.2">
      <c r="A7" s="40">
        <v>5</v>
      </c>
      <c r="B7" s="12" t="s">
        <v>13</v>
      </c>
      <c r="C7" s="12" t="s">
        <v>15</v>
      </c>
      <c r="D7" s="10">
        <f>66/PI()</f>
        <v>21.008452488130185</v>
      </c>
      <c r="E7" s="10">
        <v>14.2</v>
      </c>
      <c r="F7" s="9">
        <f>EXP(-2.8+1.8*LN(D7)+0.8*LN(E7))</f>
        <v>121.93136601775947</v>
      </c>
      <c r="G7" s="13">
        <v>6.41</v>
      </c>
      <c r="H7" s="46">
        <f t="shared" si="0"/>
        <v>1.1710598699903711</v>
      </c>
      <c r="I7" s="14">
        <v>4.8899999999999997</v>
      </c>
      <c r="J7" s="15">
        <v>25</v>
      </c>
      <c r="K7" s="1">
        <v>1</v>
      </c>
    </row>
    <row r="8" spans="1:12" x14ac:dyDescent="0.2">
      <c r="A8" s="40">
        <v>6</v>
      </c>
      <c r="B8" s="12" t="s">
        <v>13</v>
      </c>
      <c r="C8" s="12" t="s">
        <v>15</v>
      </c>
      <c r="D8" s="10">
        <f>73/PI()</f>
        <v>23.236621691416719</v>
      </c>
      <c r="E8" s="10">
        <v>8.4</v>
      </c>
      <c r="F8" s="9">
        <f>EXP(-2.8+1.8*LN(D8)+0.8*LN(E8))</f>
        <v>96.052850326332887</v>
      </c>
      <c r="G8" s="13">
        <v>6.41</v>
      </c>
      <c r="H8" s="46">
        <f t="shared" si="0"/>
        <v>1.1710598699903711</v>
      </c>
      <c r="I8" s="14">
        <v>4.8899999999999997</v>
      </c>
      <c r="J8" s="15">
        <v>25</v>
      </c>
      <c r="K8" s="1">
        <v>1</v>
      </c>
    </row>
    <row r="9" spans="1:12" x14ac:dyDescent="0.2">
      <c r="A9" s="40">
        <v>7</v>
      </c>
      <c r="B9" s="12" t="s">
        <v>12</v>
      </c>
      <c r="C9" s="12" t="s">
        <v>15</v>
      </c>
      <c r="D9" s="10">
        <f>19/PI()</f>
        <v>6.0478878374920226</v>
      </c>
      <c r="E9" s="10">
        <v>4</v>
      </c>
      <c r="F9" s="9">
        <f>EXP(-2.8+1.8*LN(D9)+0.8*LN(E9))</f>
        <v>4.7044640549435695</v>
      </c>
      <c r="G9" s="13">
        <v>6.41</v>
      </c>
      <c r="H9" s="46">
        <f t="shared" si="0"/>
        <v>1.1710598699903711</v>
      </c>
      <c r="I9" s="14">
        <v>4.8899999999999997</v>
      </c>
      <c r="J9" s="15">
        <v>25</v>
      </c>
      <c r="K9" s="1">
        <v>1</v>
      </c>
    </row>
    <row r="10" spans="1:12" x14ac:dyDescent="0.2">
      <c r="A10" s="40">
        <v>8</v>
      </c>
      <c r="B10" s="12" t="s">
        <v>19</v>
      </c>
      <c r="C10" s="12" t="s">
        <v>15</v>
      </c>
      <c r="D10" s="10">
        <f>35/PI()</f>
        <v>11.140846016432674</v>
      </c>
      <c r="E10" s="10">
        <v>10.9</v>
      </c>
      <c r="F10" s="9">
        <f t="shared" ref="F10:F14" si="1">EXP(-2.98+2.12*LN(D10)+0.65*LN(E10))</f>
        <v>39.773718117583073</v>
      </c>
      <c r="G10" s="13">
        <v>6.41</v>
      </c>
      <c r="H10" s="46">
        <f t="shared" si="0"/>
        <v>1.1710598699903711</v>
      </c>
      <c r="I10" s="14">
        <v>4.8899999999999997</v>
      </c>
      <c r="J10" s="15">
        <v>25</v>
      </c>
      <c r="K10" s="1">
        <v>1</v>
      </c>
    </row>
    <row r="11" spans="1:12" x14ac:dyDescent="0.2">
      <c r="A11" s="40">
        <v>9</v>
      </c>
      <c r="B11" s="12" t="s">
        <v>12</v>
      </c>
      <c r="C11" s="12" t="s">
        <v>15</v>
      </c>
      <c r="D11" s="10">
        <f>42/PI()</f>
        <v>13.369015219719209</v>
      </c>
      <c r="E11" s="10">
        <v>9.4</v>
      </c>
      <c r="F11" s="9">
        <f t="shared" si="1"/>
        <v>53.169957638049631</v>
      </c>
      <c r="G11" s="13">
        <v>6.41</v>
      </c>
      <c r="H11" s="46">
        <f t="shared" si="0"/>
        <v>1.1710598699903711</v>
      </c>
      <c r="I11" s="14">
        <v>4.8899999999999997</v>
      </c>
      <c r="J11" s="15">
        <v>25</v>
      </c>
      <c r="K11" s="1">
        <v>1</v>
      </c>
    </row>
    <row r="12" spans="1:12" x14ac:dyDescent="0.2">
      <c r="A12" s="40">
        <v>10</v>
      </c>
      <c r="B12" s="12" t="s">
        <v>19</v>
      </c>
      <c r="C12" s="12" t="s">
        <v>15</v>
      </c>
      <c r="D12" s="10">
        <f>38/PI()</f>
        <v>12.095775674984045</v>
      </c>
      <c r="E12" s="10">
        <v>11.7</v>
      </c>
      <c r="F12" s="9">
        <f t="shared" si="1"/>
        <v>49.58002584033806</v>
      </c>
      <c r="G12" s="13">
        <v>6.41</v>
      </c>
      <c r="H12" s="46">
        <f t="shared" si="0"/>
        <v>1.1710598699903711</v>
      </c>
      <c r="I12" s="14">
        <v>4.8899999999999997</v>
      </c>
      <c r="J12" s="15">
        <v>25</v>
      </c>
      <c r="K12" s="1">
        <v>1</v>
      </c>
    </row>
    <row r="13" spans="1:12" x14ac:dyDescent="0.2">
      <c r="A13" s="40">
        <v>11</v>
      </c>
      <c r="B13" s="12" t="s">
        <v>19</v>
      </c>
      <c r="C13" s="12" t="s">
        <v>15</v>
      </c>
      <c r="D13" s="10">
        <f>25/PI()</f>
        <v>7.9577471545947667</v>
      </c>
      <c r="E13" s="10">
        <v>8.4</v>
      </c>
      <c r="F13" s="9">
        <f t="shared" si="1"/>
        <v>16.453529270547843</v>
      </c>
      <c r="G13" s="13">
        <v>6.41</v>
      </c>
      <c r="H13" s="46">
        <f t="shared" si="0"/>
        <v>1.1710598699903711</v>
      </c>
      <c r="I13" s="14">
        <v>4.8899999999999997</v>
      </c>
      <c r="J13" s="15">
        <v>25</v>
      </c>
      <c r="K13" s="1">
        <v>1</v>
      </c>
    </row>
    <row r="14" spans="1:12" x14ac:dyDescent="0.2">
      <c r="A14" s="40">
        <v>12</v>
      </c>
      <c r="B14" s="12" t="s">
        <v>20</v>
      </c>
      <c r="C14" s="12" t="s">
        <v>15</v>
      </c>
      <c r="D14" s="10">
        <f>206/PI()</f>
        <v>65.571836553860877</v>
      </c>
      <c r="E14" s="10">
        <v>21.8</v>
      </c>
      <c r="F14" s="9">
        <f>EXP(-2.98+2.12*LN(D14)+0.65*LN(E14))</f>
        <v>2674.4836166747245</v>
      </c>
      <c r="G14" s="13">
        <v>6.41</v>
      </c>
      <c r="H14" s="46">
        <f t="shared" si="0"/>
        <v>1.1710598699903711</v>
      </c>
      <c r="I14" s="14">
        <v>4.8899999999999997</v>
      </c>
      <c r="J14" s="15">
        <v>25</v>
      </c>
      <c r="K14" s="1">
        <v>1</v>
      </c>
    </row>
    <row r="15" spans="1:12" ht="16.5" customHeight="1" x14ac:dyDescent="0.25">
      <c r="A15" s="40">
        <v>13</v>
      </c>
      <c r="B15" s="12" t="s">
        <v>12</v>
      </c>
      <c r="C15" s="12" t="s">
        <v>15</v>
      </c>
      <c r="D15" s="10">
        <f>40/PI()</f>
        <v>12.732395447351628</v>
      </c>
      <c r="E15" s="10">
        <v>10.199999999999999</v>
      </c>
      <c r="F15" s="9">
        <f>EXP(-2.8+1.8*LN(D15)+0.8*LN(E15))</f>
        <v>37.992143908707604</v>
      </c>
      <c r="G15" s="13">
        <v>6.41</v>
      </c>
      <c r="H15" s="46">
        <f t="shared" si="0"/>
        <v>1.1710598699903711</v>
      </c>
      <c r="I15" s="14">
        <v>4.8899999999999997</v>
      </c>
      <c r="J15" s="15">
        <v>25</v>
      </c>
      <c r="K15" s="1">
        <v>1</v>
      </c>
      <c r="L15" s="11"/>
    </row>
    <row r="16" spans="1:12" x14ac:dyDescent="0.2">
      <c r="A16" s="40">
        <v>14</v>
      </c>
      <c r="B16" s="12" t="s">
        <v>12</v>
      </c>
      <c r="C16" s="12" t="s">
        <v>15</v>
      </c>
      <c r="D16" s="10">
        <f>23/PI()</f>
        <v>7.3211273822271856</v>
      </c>
      <c r="E16" s="10">
        <v>8.4</v>
      </c>
      <c r="F16" s="9">
        <f t="shared" ref="F16:F21" si="2">EXP(-2.8+1.8*LN(D16)+0.8*LN(E16))</f>
        <v>12.01266078270122</v>
      </c>
      <c r="G16" s="13">
        <v>6.41</v>
      </c>
      <c r="H16" s="46">
        <f t="shared" si="0"/>
        <v>1.1710598699903711</v>
      </c>
      <c r="I16" s="14">
        <v>4.8899999999999997</v>
      </c>
      <c r="J16" s="15">
        <v>25</v>
      </c>
      <c r="K16" s="1">
        <v>1</v>
      </c>
    </row>
    <row r="17" spans="1:11" x14ac:dyDescent="0.2">
      <c r="A17" s="40">
        <v>15</v>
      </c>
      <c r="B17" s="12" t="s">
        <v>12</v>
      </c>
      <c r="C17" s="12" t="s">
        <v>15</v>
      </c>
      <c r="D17" s="10">
        <f>10/PI()</f>
        <v>3.183098861837907</v>
      </c>
      <c r="E17" s="10">
        <v>2</v>
      </c>
      <c r="F17" s="9">
        <f t="shared" si="2"/>
        <v>0.85100022782726681</v>
      </c>
      <c r="G17" s="13">
        <v>6.41</v>
      </c>
      <c r="H17" s="46">
        <f t="shared" si="0"/>
        <v>1.1710598699903711</v>
      </c>
      <c r="I17" s="14">
        <v>4.8899999999999997</v>
      </c>
      <c r="J17" s="15">
        <v>25</v>
      </c>
      <c r="K17" s="1">
        <v>1</v>
      </c>
    </row>
    <row r="18" spans="1:11" x14ac:dyDescent="0.2">
      <c r="A18" s="40">
        <v>16</v>
      </c>
      <c r="B18" s="12" t="s">
        <v>12</v>
      </c>
      <c r="C18" s="12" t="s">
        <v>16</v>
      </c>
      <c r="D18" s="10">
        <f>134/PI()</f>
        <v>42.653524748627952</v>
      </c>
      <c r="E18" s="10">
        <v>21.5</v>
      </c>
      <c r="F18" s="9">
        <f t="shared" si="2"/>
        <v>607.91811492086788</v>
      </c>
      <c r="G18" s="13">
        <v>4.51</v>
      </c>
      <c r="H18" s="14">
        <f>-1*SUM(5/5*LN(5/5))</f>
        <v>0</v>
      </c>
      <c r="I18" s="14">
        <v>5.67</v>
      </c>
      <c r="J18" s="15">
        <v>12</v>
      </c>
      <c r="K18" s="1">
        <v>1</v>
      </c>
    </row>
    <row r="19" spans="1:11" x14ac:dyDescent="0.2">
      <c r="A19" s="40">
        <v>17</v>
      </c>
      <c r="B19" s="12" t="s">
        <v>12</v>
      </c>
      <c r="C19" s="12" t="s">
        <v>16</v>
      </c>
      <c r="D19" s="10">
        <f>84/PI()</f>
        <v>26.738030439438418</v>
      </c>
      <c r="E19" s="10">
        <v>20.2</v>
      </c>
      <c r="F19" s="9">
        <f t="shared" si="2"/>
        <v>249.51088136221392</v>
      </c>
      <c r="G19" s="13">
        <v>4.51</v>
      </c>
      <c r="H19" s="14">
        <f t="shared" ref="H19:H22" si="3">-1*SUM(5/5*LN(5/5))</f>
        <v>0</v>
      </c>
      <c r="I19" s="14">
        <v>5.67</v>
      </c>
      <c r="J19" s="15">
        <v>12</v>
      </c>
      <c r="K19" s="1">
        <v>1</v>
      </c>
    </row>
    <row r="20" spans="1:11" x14ac:dyDescent="0.2">
      <c r="A20" s="40">
        <v>18</v>
      </c>
      <c r="B20" s="12" t="s">
        <v>12</v>
      </c>
      <c r="C20" s="12" t="s">
        <v>16</v>
      </c>
      <c r="D20" s="10">
        <f>180/PI()</f>
        <v>57.295779513082323</v>
      </c>
      <c r="E20" s="10">
        <v>23.5</v>
      </c>
      <c r="F20" s="9">
        <f t="shared" si="2"/>
        <v>1110.3259212923538</v>
      </c>
      <c r="G20" s="13">
        <v>4.51</v>
      </c>
      <c r="H20" s="14">
        <f t="shared" si="3"/>
        <v>0</v>
      </c>
      <c r="I20" s="14">
        <v>5.67</v>
      </c>
      <c r="J20" s="15">
        <v>12</v>
      </c>
      <c r="K20" s="1">
        <v>1</v>
      </c>
    </row>
    <row r="21" spans="1:11" x14ac:dyDescent="0.2">
      <c r="A21" s="40">
        <v>19</v>
      </c>
      <c r="B21" s="12" t="s">
        <v>12</v>
      </c>
      <c r="C21" s="12" t="s">
        <v>16</v>
      </c>
      <c r="D21" s="10">
        <f>129/PI()</f>
        <v>41.061975317708999</v>
      </c>
      <c r="E21" s="10">
        <v>26.7</v>
      </c>
      <c r="F21" s="9">
        <f t="shared" si="2"/>
        <v>675.11252835148696</v>
      </c>
      <c r="G21" s="13">
        <v>4.51</v>
      </c>
      <c r="H21" s="14">
        <f t="shared" si="3"/>
        <v>0</v>
      </c>
      <c r="I21" s="14">
        <v>5.67</v>
      </c>
      <c r="J21" s="15">
        <v>12</v>
      </c>
      <c r="K21" s="1">
        <v>1</v>
      </c>
    </row>
    <row r="22" spans="1:11" x14ac:dyDescent="0.2">
      <c r="A22" s="40">
        <v>20</v>
      </c>
      <c r="B22" s="12" t="s">
        <v>12</v>
      </c>
      <c r="C22" s="12" t="s">
        <v>16</v>
      </c>
      <c r="D22" s="10">
        <f>131/PI()</f>
        <v>41.69859509007658</v>
      </c>
      <c r="E22" s="10">
        <v>25.9</v>
      </c>
      <c r="F22" s="9">
        <f>EXP(-2.8+1.8*LN(D22)+0.8*LN(E22))</f>
        <v>677.3822671288267</v>
      </c>
      <c r="G22" s="13">
        <v>4.51</v>
      </c>
      <c r="H22" s="14">
        <f t="shared" si="3"/>
        <v>0</v>
      </c>
      <c r="I22" s="14">
        <v>5.67</v>
      </c>
      <c r="J22" s="15">
        <v>12</v>
      </c>
      <c r="K22" s="1">
        <v>1</v>
      </c>
    </row>
    <row r="23" spans="1:11" x14ac:dyDescent="0.2">
      <c r="A23" s="57">
        <v>21</v>
      </c>
      <c r="B23" s="12" t="s">
        <v>19</v>
      </c>
      <c r="C23" s="12" t="s">
        <v>15</v>
      </c>
      <c r="D23" s="10">
        <f>105/PI()</f>
        <v>33.422538049298019</v>
      </c>
      <c r="E23" s="12">
        <v>14.9</v>
      </c>
      <c r="F23" s="9">
        <f>EXP(-3.1632)*((D23/PI())^(2.1468))*(E23^(0.6909))*(1.005*EXP(0.1))</f>
        <v>48.631323773236851</v>
      </c>
      <c r="G23" s="13">
        <v>6.53</v>
      </c>
      <c r="H23" s="14">
        <v>0.80200000000000005</v>
      </c>
      <c r="I23" s="14">
        <v>4.9800000000000004</v>
      </c>
      <c r="J23" s="15">
        <v>29</v>
      </c>
      <c r="K23" s="1">
        <v>2</v>
      </c>
    </row>
    <row r="24" spans="1:11" x14ac:dyDescent="0.2">
      <c r="A24" s="40">
        <v>22</v>
      </c>
      <c r="B24" s="12" t="s">
        <v>19</v>
      </c>
      <c r="C24" s="12" t="s">
        <v>15</v>
      </c>
      <c r="D24" s="10">
        <f>46/PI()</f>
        <v>14.642254764454371</v>
      </c>
      <c r="E24" s="12">
        <v>10.9</v>
      </c>
      <c r="F24" s="9">
        <f>EXP(-3.1632)*((D24/PI())^(2.1468))*(E24^(0.6909))*(1.005*EXP(0.1))</f>
        <v>6.662527151084717</v>
      </c>
      <c r="G24" s="13">
        <v>6.53</v>
      </c>
      <c r="H24" s="14">
        <v>0.80200000000000005</v>
      </c>
      <c r="I24" s="14">
        <v>4.9800000000000004</v>
      </c>
      <c r="J24" s="15">
        <v>29</v>
      </c>
      <c r="K24" s="1">
        <v>2</v>
      </c>
    </row>
    <row r="25" spans="1:11" x14ac:dyDescent="0.2">
      <c r="A25" s="40">
        <v>23</v>
      </c>
      <c r="B25" s="12" t="s">
        <v>19</v>
      </c>
      <c r="C25" s="12" t="s">
        <v>15</v>
      </c>
      <c r="D25" s="10">
        <f>78/PI()</f>
        <v>24.828171122335672</v>
      </c>
      <c r="E25" s="12">
        <v>12.8</v>
      </c>
      <c r="F25" s="9">
        <f>EXP(-3.1632)*((D25/PI())^(2.1468))*(E25^(0.6909))*(1.005*EXP(0.1))</f>
        <v>23.13090220589126</v>
      </c>
      <c r="G25" s="13">
        <v>6.53</v>
      </c>
      <c r="H25" s="14">
        <v>0.80200000000000005</v>
      </c>
      <c r="I25" s="14">
        <v>4.9800000000000004</v>
      </c>
      <c r="J25" s="15">
        <v>29</v>
      </c>
      <c r="K25" s="1">
        <v>2</v>
      </c>
    </row>
    <row r="26" spans="1:11" x14ac:dyDescent="0.2">
      <c r="A26" s="40">
        <v>24</v>
      </c>
      <c r="B26" s="12" t="s">
        <v>12</v>
      </c>
      <c r="C26" s="12" t="s">
        <v>15</v>
      </c>
      <c r="D26" s="10">
        <f>125/PI()</f>
        <v>39.788735772973837</v>
      </c>
      <c r="E26" s="12">
        <v>16.600000000000001</v>
      </c>
      <c r="F26" s="9">
        <f>0.593*(D26^0.46)*(E26^1.52)*1.15</f>
        <v>265.58680356895718</v>
      </c>
      <c r="G26" s="13">
        <v>6.53</v>
      </c>
      <c r="H26" s="14">
        <v>0.80200000000000005</v>
      </c>
      <c r="I26" s="14">
        <v>4.9800000000000004</v>
      </c>
      <c r="J26" s="15">
        <v>29</v>
      </c>
      <c r="K26" s="1">
        <v>2</v>
      </c>
    </row>
    <row r="27" spans="1:11" x14ac:dyDescent="0.2">
      <c r="A27" s="40">
        <v>25</v>
      </c>
      <c r="B27" s="12" t="s">
        <v>12</v>
      </c>
      <c r="C27" s="12" t="s">
        <v>15</v>
      </c>
      <c r="D27" s="10">
        <f>164/PI()</f>
        <v>52.202821334141674</v>
      </c>
      <c r="E27" s="12">
        <v>14.7</v>
      </c>
      <c r="F27" s="9">
        <f>0.593*(D27^0.46)*(E27^1.52)*1.15</f>
        <v>250.15783590079172</v>
      </c>
      <c r="G27" s="13">
        <v>6.53</v>
      </c>
      <c r="H27" s="14">
        <v>0.80200000000000005</v>
      </c>
      <c r="I27" s="14">
        <v>4.9800000000000004</v>
      </c>
      <c r="J27" s="15">
        <v>29</v>
      </c>
      <c r="K27" s="1">
        <v>2</v>
      </c>
    </row>
    <row r="28" spans="1:11" x14ac:dyDescent="0.2">
      <c r="A28" s="40">
        <v>26</v>
      </c>
      <c r="B28" s="12" t="s">
        <v>19</v>
      </c>
      <c r="C28" s="12" t="s">
        <v>15</v>
      </c>
      <c r="D28" s="10">
        <f>103/PI()</f>
        <v>32.785918276930438</v>
      </c>
      <c r="E28" s="12">
        <v>13.2</v>
      </c>
      <c r="F28" s="9">
        <f>0.593*(D28^0.46)*(E28^1.52)*1.15</f>
        <v>171.49090454318522</v>
      </c>
      <c r="G28" s="13">
        <v>6.53</v>
      </c>
      <c r="H28" s="14">
        <v>0.80200000000000005</v>
      </c>
      <c r="I28" s="14">
        <v>4.9800000000000004</v>
      </c>
      <c r="J28" s="15">
        <v>29</v>
      </c>
      <c r="K28" s="1">
        <v>2</v>
      </c>
    </row>
    <row r="29" spans="1:11" x14ac:dyDescent="0.2">
      <c r="A29" s="40">
        <v>27</v>
      </c>
      <c r="B29" s="12" t="s">
        <v>19</v>
      </c>
      <c r="C29" s="12" t="s">
        <v>15</v>
      </c>
      <c r="D29" s="10">
        <f>58/PI()</f>
        <v>18.461973398659861</v>
      </c>
      <c r="E29" s="12">
        <v>13.9</v>
      </c>
      <c r="F29" s="9">
        <f>EXP(-3.1632)*((D29/PI())^(2.1468))*(E29^(0.6909))*(1.005*EXP(0.1))</f>
        <v>12.963093498588169</v>
      </c>
      <c r="G29" s="13">
        <v>6.53</v>
      </c>
      <c r="H29" s="14">
        <v>0.80200000000000005</v>
      </c>
      <c r="I29" s="14">
        <v>4.9800000000000004</v>
      </c>
      <c r="J29" s="15">
        <v>29</v>
      </c>
      <c r="K29" s="1">
        <v>2</v>
      </c>
    </row>
    <row r="30" spans="1:11" x14ac:dyDescent="0.2">
      <c r="A30" s="40">
        <v>28</v>
      </c>
      <c r="B30" s="12" t="s">
        <v>19</v>
      </c>
      <c r="C30" s="12" t="s">
        <v>15</v>
      </c>
      <c r="D30" s="10">
        <f>49/PI()</f>
        <v>15.597184423005743</v>
      </c>
      <c r="E30" s="12">
        <v>14.9</v>
      </c>
      <c r="F30" s="9">
        <f>EXP(-3.1632)*((D30/PI())^(2.1468))*(E30^(0.6909))*(1.005*EXP(0.1))</f>
        <v>9.4697791095428148</v>
      </c>
      <c r="G30" s="13">
        <v>6.53</v>
      </c>
      <c r="H30" s="14">
        <v>0.80200000000000005</v>
      </c>
      <c r="I30" s="14">
        <v>4.9800000000000004</v>
      </c>
      <c r="J30" s="15">
        <v>29</v>
      </c>
      <c r="K30" s="1">
        <v>2</v>
      </c>
    </row>
    <row r="31" spans="1:11" x14ac:dyDescent="0.2">
      <c r="A31" s="40">
        <v>29</v>
      </c>
      <c r="B31" s="12" t="s">
        <v>13</v>
      </c>
      <c r="C31" s="12" t="s">
        <v>15</v>
      </c>
      <c r="D31" s="10">
        <f>104/PI()</f>
        <v>33.104228163114229</v>
      </c>
      <c r="E31" s="12">
        <v>17</v>
      </c>
      <c r="F31" s="9">
        <f>EXP(-2.9687)*((D31/PI())^(1.3301))*(E31^(1.446))*(1.0278*EXP(0.2344))</f>
        <v>92.041630827533155</v>
      </c>
      <c r="G31" s="13">
        <v>6.53</v>
      </c>
      <c r="H31" s="14">
        <v>0.80200000000000005</v>
      </c>
      <c r="I31" s="14">
        <v>4.9800000000000004</v>
      </c>
      <c r="J31" s="15">
        <v>29</v>
      </c>
      <c r="K31" s="1">
        <v>2</v>
      </c>
    </row>
    <row r="32" spans="1:11" x14ac:dyDescent="0.2">
      <c r="A32" s="40">
        <v>30</v>
      </c>
      <c r="B32" s="12" t="s">
        <v>19</v>
      </c>
      <c r="C32" s="12" t="s">
        <v>15</v>
      </c>
      <c r="D32" s="10">
        <f>64/PI()</f>
        <v>20.371832715762604</v>
      </c>
      <c r="E32" s="12">
        <v>16.7</v>
      </c>
      <c r="F32" s="9">
        <f>EXP(-3.1632)*((D32/PI())^(2.1468))*(E32^(0.6909))*(1.005*EXP(0.1))</f>
        <v>18.178351193939097</v>
      </c>
      <c r="G32" s="13">
        <v>6.53</v>
      </c>
      <c r="H32" s="14">
        <v>0.80200000000000005</v>
      </c>
      <c r="I32" s="14">
        <v>4.9800000000000004</v>
      </c>
      <c r="J32" s="15">
        <v>29</v>
      </c>
      <c r="K32" s="1">
        <v>2</v>
      </c>
    </row>
    <row r="33" spans="1:11" x14ac:dyDescent="0.2">
      <c r="A33" s="57">
        <v>31</v>
      </c>
      <c r="B33" s="12" t="s">
        <v>13</v>
      </c>
      <c r="C33" s="12" t="s">
        <v>16</v>
      </c>
      <c r="D33" s="10">
        <f>61/PI()</f>
        <v>19.416903057211233</v>
      </c>
      <c r="E33" s="12">
        <v>26.1</v>
      </c>
      <c r="F33" s="9">
        <f t="shared" ref="F33:F39" si="4">EXP(-2.9687)*((D33/PI())^(1.3301))*(E33^(1.446))*(1.0278*EXP(0.2344))</f>
        <v>84.145037304055478</v>
      </c>
      <c r="G33" s="13">
        <v>4.2699999999999996</v>
      </c>
      <c r="H33" s="14">
        <v>0</v>
      </c>
      <c r="I33" s="14">
        <v>4.12</v>
      </c>
      <c r="J33" s="15">
        <v>14</v>
      </c>
      <c r="K33" s="1">
        <v>2</v>
      </c>
    </row>
    <row r="34" spans="1:11" x14ac:dyDescent="0.2">
      <c r="A34" s="40">
        <v>32</v>
      </c>
      <c r="B34" s="12" t="s">
        <v>13</v>
      </c>
      <c r="C34" s="12" t="s">
        <v>16</v>
      </c>
      <c r="D34" s="10">
        <f>81/PI()</f>
        <v>25.783100780887047</v>
      </c>
      <c r="E34" s="12">
        <v>35</v>
      </c>
      <c r="F34" s="9">
        <f t="shared" si="4"/>
        <v>187.54152185416186</v>
      </c>
      <c r="G34" s="13">
        <v>4.2699999999999996</v>
      </c>
      <c r="H34" s="14">
        <v>0</v>
      </c>
      <c r="I34" s="14">
        <v>4.12</v>
      </c>
      <c r="J34" s="15">
        <v>14</v>
      </c>
      <c r="K34" s="1">
        <v>2</v>
      </c>
    </row>
    <row r="35" spans="1:11" x14ac:dyDescent="0.2">
      <c r="A35" s="40">
        <v>33</v>
      </c>
      <c r="B35" s="12" t="s">
        <v>13</v>
      </c>
      <c r="C35" s="12" t="s">
        <v>16</v>
      </c>
      <c r="D35" s="10">
        <f>95/PI()</f>
        <v>30.239439187460114</v>
      </c>
      <c r="E35" s="12">
        <v>24.2</v>
      </c>
      <c r="F35" s="9">
        <f t="shared" si="4"/>
        <v>135.97726658636321</v>
      </c>
      <c r="G35" s="13">
        <v>4.2699999999999996</v>
      </c>
      <c r="H35" s="14">
        <v>0</v>
      </c>
      <c r="I35" s="14">
        <v>4.12</v>
      </c>
      <c r="J35" s="15">
        <v>14</v>
      </c>
      <c r="K35" s="1">
        <v>2</v>
      </c>
    </row>
    <row r="36" spans="1:11" x14ac:dyDescent="0.2">
      <c r="A36" s="40">
        <v>34</v>
      </c>
      <c r="B36" s="12" t="s">
        <v>13</v>
      </c>
      <c r="C36" s="12" t="s">
        <v>16</v>
      </c>
      <c r="D36" s="10">
        <f>104/PI()</f>
        <v>33.104228163114229</v>
      </c>
      <c r="E36" s="12">
        <v>28.5</v>
      </c>
      <c r="F36" s="9">
        <f t="shared" si="4"/>
        <v>194.29464555497017</v>
      </c>
      <c r="G36" s="13">
        <v>4.2699999999999996</v>
      </c>
      <c r="H36" s="14">
        <v>0</v>
      </c>
      <c r="I36" s="14">
        <v>4.12</v>
      </c>
      <c r="J36" s="15">
        <v>14</v>
      </c>
      <c r="K36" s="1">
        <v>2</v>
      </c>
    </row>
    <row r="37" spans="1:11" x14ac:dyDescent="0.2">
      <c r="A37" s="40">
        <v>35</v>
      </c>
      <c r="B37" s="12" t="s">
        <v>13</v>
      </c>
      <c r="C37" s="12" t="s">
        <v>16</v>
      </c>
      <c r="D37" s="10">
        <f>130/PI()</f>
        <v>41.38028520389279</v>
      </c>
      <c r="E37" s="12">
        <v>29.9</v>
      </c>
      <c r="F37" s="9">
        <f t="shared" si="4"/>
        <v>280.20489080507809</v>
      </c>
      <c r="G37" s="13">
        <v>4.2699999999999996</v>
      </c>
      <c r="H37" s="14">
        <v>0</v>
      </c>
      <c r="I37" s="14">
        <v>4.12</v>
      </c>
      <c r="J37" s="15">
        <v>14</v>
      </c>
      <c r="K37" s="1">
        <v>2</v>
      </c>
    </row>
    <row r="38" spans="1:11" x14ac:dyDescent="0.2">
      <c r="A38" s="40">
        <v>36</v>
      </c>
      <c r="B38" s="12" t="s">
        <v>13</v>
      </c>
      <c r="C38" s="12" t="s">
        <v>16</v>
      </c>
      <c r="D38" s="10">
        <f>80/PI()</f>
        <v>25.464790894703256</v>
      </c>
      <c r="E38" s="12">
        <v>22.2</v>
      </c>
      <c r="F38" s="9">
        <f t="shared" si="4"/>
        <v>95.504868929025577</v>
      </c>
      <c r="G38" s="13">
        <v>4.2699999999999996</v>
      </c>
      <c r="H38" s="14">
        <v>0</v>
      </c>
      <c r="I38" s="14">
        <v>4.12</v>
      </c>
      <c r="J38" s="15">
        <v>14</v>
      </c>
      <c r="K38" s="1">
        <v>2</v>
      </c>
    </row>
    <row r="39" spans="1:11" x14ac:dyDescent="0.2">
      <c r="A39" s="40">
        <v>37</v>
      </c>
      <c r="B39" s="12" t="s">
        <v>13</v>
      </c>
      <c r="C39" s="12" t="s">
        <v>16</v>
      </c>
      <c r="D39" s="10">
        <f>82/PI()</f>
        <v>26.101410667070837</v>
      </c>
      <c r="E39" s="12">
        <v>24.8</v>
      </c>
      <c r="F39" s="9">
        <f t="shared" si="4"/>
        <v>115.83506739147236</v>
      </c>
      <c r="G39" s="13">
        <v>4.2699999999999996</v>
      </c>
      <c r="H39" s="14">
        <v>0</v>
      </c>
      <c r="I39" s="14">
        <v>4.12</v>
      </c>
      <c r="J39" s="15">
        <v>14</v>
      </c>
      <c r="K39" s="1">
        <v>2</v>
      </c>
    </row>
    <row r="40" spans="1:11" x14ac:dyDescent="0.2">
      <c r="A40" s="40">
        <v>38</v>
      </c>
      <c r="B40" s="12" t="s">
        <v>19</v>
      </c>
      <c r="C40" s="12" t="s">
        <v>15</v>
      </c>
      <c r="D40" s="16">
        <v>12.414085561167836</v>
      </c>
      <c r="E40" s="12">
        <v>14</v>
      </c>
      <c r="F40" s="9">
        <v>58.367604286733922</v>
      </c>
      <c r="G40" s="13">
        <v>6.86</v>
      </c>
      <c r="H40" s="14">
        <v>1.0549999999999999</v>
      </c>
      <c r="I40" s="20">
        <v>5.0999999999999996</v>
      </c>
      <c r="J40" s="15">
        <v>40</v>
      </c>
      <c r="K40" s="1">
        <v>3</v>
      </c>
    </row>
    <row r="41" spans="1:11" x14ac:dyDescent="0.2">
      <c r="A41" s="40">
        <v>39</v>
      </c>
      <c r="B41" s="12" t="s">
        <v>19</v>
      </c>
      <c r="C41" s="12" t="s">
        <v>15</v>
      </c>
      <c r="D41" s="16">
        <v>11.777465788800255</v>
      </c>
      <c r="E41" s="12">
        <v>13</v>
      </c>
      <c r="F41" s="9">
        <v>49.529402453175152</v>
      </c>
      <c r="G41" s="13">
        <v>6.86</v>
      </c>
      <c r="H41" s="14">
        <v>1.0549999999999999</v>
      </c>
      <c r="I41" s="20">
        <v>5.0999999999999996</v>
      </c>
      <c r="J41" s="15">
        <v>40</v>
      </c>
      <c r="K41" s="1">
        <v>3</v>
      </c>
    </row>
    <row r="42" spans="1:11" x14ac:dyDescent="0.2">
      <c r="A42" s="40">
        <v>40</v>
      </c>
      <c r="B42" s="12" t="s">
        <v>19</v>
      </c>
      <c r="C42" s="12" t="s">
        <v>15</v>
      </c>
      <c r="D42" s="16">
        <v>9.2309866993299305</v>
      </c>
      <c r="E42" s="12">
        <v>12</v>
      </c>
      <c r="F42" s="9">
        <v>27.779021158133624</v>
      </c>
      <c r="G42" s="13">
        <v>6.86</v>
      </c>
      <c r="H42" s="14">
        <v>1.0549999999999999</v>
      </c>
      <c r="I42" s="20">
        <v>5.0999999999999996</v>
      </c>
      <c r="J42" s="15">
        <v>40</v>
      </c>
      <c r="K42" s="1">
        <v>3</v>
      </c>
    </row>
    <row r="43" spans="1:11" x14ac:dyDescent="0.2">
      <c r="A43" s="57">
        <v>41</v>
      </c>
      <c r="B43" s="12" t="s">
        <v>19</v>
      </c>
      <c r="C43" s="12" t="s">
        <v>15</v>
      </c>
      <c r="D43" s="16">
        <v>25.146481008519466</v>
      </c>
      <c r="E43" s="12">
        <v>17</v>
      </c>
      <c r="F43" s="9">
        <v>303.76113916786517</v>
      </c>
      <c r="G43" s="13">
        <v>6.86</v>
      </c>
      <c r="H43" s="14">
        <v>1.0549999999999999</v>
      </c>
      <c r="I43" s="20">
        <v>5.0999999999999996</v>
      </c>
      <c r="J43" s="15">
        <v>40</v>
      </c>
      <c r="K43" s="1">
        <v>3</v>
      </c>
    </row>
    <row r="44" spans="1:11" x14ac:dyDescent="0.2">
      <c r="A44" s="40">
        <v>42</v>
      </c>
      <c r="B44" s="12" t="s">
        <v>19</v>
      </c>
      <c r="C44" s="12" t="s">
        <v>15</v>
      </c>
      <c r="D44" s="16">
        <v>16.870423967740905</v>
      </c>
      <c r="E44" s="12">
        <v>16</v>
      </c>
      <c r="F44" s="9">
        <v>123.65140203617214</v>
      </c>
      <c r="G44" s="13">
        <v>6.86</v>
      </c>
      <c r="H44" s="14">
        <v>1.0549999999999999</v>
      </c>
      <c r="I44" s="20">
        <v>5.0999999999999996</v>
      </c>
      <c r="J44" s="15">
        <v>40</v>
      </c>
      <c r="K44" s="1">
        <v>3</v>
      </c>
    </row>
    <row r="45" spans="1:11" x14ac:dyDescent="0.2">
      <c r="A45" s="40">
        <v>43</v>
      </c>
      <c r="B45" s="12" t="s">
        <v>19</v>
      </c>
      <c r="C45" s="12" t="s">
        <v>15</v>
      </c>
      <c r="D45" s="16">
        <v>8.91267681314614</v>
      </c>
      <c r="E45" s="12">
        <v>10</v>
      </c>
      <c r="F45" s="9">
        <v>22.715233727489291</v>
      </c>
      <c r="G45" s="13">
        <v>6.86</v>
      </c>
      <c r="H45" s="14">
        <v>1.0549999999999999</v>
      </c>
      <c r="I45" s="20">
        <v>5.0999999999999996</v>
      </c>
      <c r="J45" s="15">
        <v>40</v>
      </c>
      <c r="K45" s="1">
        <v>3</v>
      </c>
    </row>
    <row r="46" spans="1:11" x14ac:dyDescent="0.2">
      <c r="A46" s="40">
        <v>44</v>
      </c>
      <c r="B46" s="12" t="s">
        <v>19</v>
      </c>
      <c r="C46" s="12" t="s">
        <v>15</v>
      </c>
      <c r="D46" s="16">
        <v>10.504226244065093</v>
      </c>
      <c r="E46" s="12">
        <v>8</v>
      </c>
      <c r="F46" s="9">
        <v>27.706267266197273</v>
      </c>
      <c r="G46" s="13">
        <v>6.86</v>
      </c>
      <c r="H46" s="14">
        <v>1.0549999999999999</v>
      </c>
      <c r="I46" s="20">
        <v>5.0999999999999996</v>
      </c>
      <c r="J46" s="15">
        <v>40</v>
      </c>
      <c r="K46" s="1">
        <v>3</v>
      </c>
    </row>
    <row r="47" spans="1:11" x14ac:dyDescent="0.2">
      <c r="A47" s="40">
        <v>45</v>
      </c>
      <c r="B47" s="12" t="s">
        <v>19</v>
      </c>
      <c r="C47" s="12" t="s">
        <v>15</v>
      </c>
      <c r="D47" s="16">
        <v>10.822536130248883</v>
      </c>
      <c r="E47" s="12">
        <v>11</v>
      </c>
      <c r="F47" s="9">
        <v>36.806377459833591</v>
      </c>
      <c r="G47" s="13">
        <v>6.86</v>
      </c>
      <c r="H47" s="14">
        <v>1.0549999999999999</v>
      </c>
      <c r="I47" s="20">
        <v>5.0999999999999996</v>
      </c>
      <c r="J47" s="15">
        <v>40</v>
      </c>
      <c r="K47" s="1">
        <v>3</v>
      </c>
    </row>
    <row r="48" spans="1:11" x14ac:dyDescent="0.2">
      <c r="A48" s="40">
        <v>46</v>
      </c>
      <c r="B48" s="12" t="s">
        <v>19</v>
      </c>
      <c r="C48" s="12" t="s">
        <v>15</v>
      </c>
      <c r="D48" s="16">
        <v>22.600001919049138</v>
      </c>
      <c r="E48" s="12">
        <v>19</v>
      </c>
      <c r="F48" s="9">
        <v>260.82367390363379</v>
      </c>
      <c r="G48" s="13">
        <v>6.86</v>
      </c>
      <c r="H48" s="14">
        <v>1.0549999999999999</v>
      </c>
      <c r="I48" s="20">
        <v>5.0999999999999996</v>
      </c>
      <c r="J48" s="15">
        <v>40</v>
      </c>
      <c r="K48" s="1">
        <v>3</v>
      </c>
    </row>
    <row r="49" spans="1:11" x14ac:dyDescent="0.2">
      <c r="A49" s="40">
        <v>47</v>
      </c>
      <c r="B49" s="12" t="s">
        <v>18</v>
      </c>
      <c r="C49" s="12" t="s">
        <v>15</v>
      </c>
      <c r="D49" s="16">
        <v>14.642254764454371</v>
      </c>
      <c r="E49" s="12">
        <v>11</v>
      </c>
      <c r="F49" s="9">
        <v>76.067957611966932</v>
      </c>
      <c r="G49" s="13">
        <v>6.86</v>
      </c>
      <c r="H49" s="14">
        <v>1.0549999999999999</v>
      </c>
      <c r="I49" s="20">
        <v>5.0999999999999996</v>
      </c>
      <c r="J49" s="15">
        <v>40</v>
      </c>
      <c r="K49" s="1">
        <v>3</v>
      </c>
    </row>
    <row r="50" spans="1:11" x14ac:dyDescent="0.2">
      <c r="A50" s="40">
        <v>48</v>
      </c>
      <c r="B50" s="12" t="s">
        <v>18</v>
      </c>
      <c r="C50" s="12" t="s">
        <v>15</v>
      </c>
      <c r="D50" s="16">
        <v>39.788735772973837</v>
      </c>
      <c r="E50" s="12">
        <v>18</v>
      </c>
      <c r="F50" s="9">
        <v>831.92564196007879</v>
      </c>
      <c r="G50" s="13">
        <v>6.86</v>
      </c>
      <c r="H50" s="14">
        <v>1.0549999999999999</v>
      </c>
      <c r="I50" s="20">
        <v>5.0999999999999996</v>
      </c>
      <c r="J50" s="15">
        <v>40</v>
      </c>
      <c r="K50" s="1">
        <v>3</v>
      </c>
    </row>
    <row r="51" spans="1:11" x14ac:dyDescent="0.2">
      <c r="A51" s="40">
        <v>49</v>
      </c>
      <c r="B51" s="12" t="s">
        <v>12</v>
      </c>
      <c r="C51" s="12" t="s">
        <v>15</v>
      </c>
      <c r="D51" s="16">
        <v>2.8647889756541161</v>
      </c>
      <c r="E51" s="12">
        <v>2.6</v>
      </c>
      <c r="F51" s="9">
        <v>0.82935477390691092</v>
      </c>
      <c r="G51" s="13">
        <v>6.86</v>
      </c>
      <c r="H51" s="14">
        <v>1.0549999999999999</v>
      </c>
      <c r="I51" s="20">
        <v>5.0999999999999996</v>
      </c>
      <c r="J51" s="15">
        <v>40</v>
      </c>
      <c r="K51" s="1">
        <v>3</v>
      </c>
    </row>
    <row r="52" spans="1:11" x14ac:dyDescent="0.2">
      <c r="A52" s="40">
        <v>50</v>
      </c>
      <c r="B52" s="12" t="s">
        <v>13</v>
      </c>
      <c r="C52" s="12" t="s">
        <v>15</v>
      </c>
      <c r="D52" s="16">
        <v>3.8197186342054881</v>
      </c>
      <c r="E52" s="12">
        <v>3.1</v>
      </c>
      <c r="F52" s="9">
        <v>1.5681186158504428</v>
      </c>
      <c r="G52" s="13">
        <v>6.86</v>
      </c>
      <c r="H52" s="14">
        <v>1.0549999999999999</v>
      </c>
      <c r="I52" s="20">
        <v>5.0999999999999996</v>
      </c>
      <c r="J52" s="15">
        <v>40</v>
      </c>
      <c r="K52" s="1">
        <v>3</v>
      </c>
    </row>
    <row r="53" spans="1:11" x14ac:dyDescent="0.2">
      <c r="A53" s="57">
        <v>51</v>
      </c>
      <c r="B53" s="12" t="s">
        <v>12</v>
      </c>
      <c r="C53" s="12" t="s">
        <v>15</v>
      </c>
      <c r="D53" s="16">
        <v>10.504226244065093</v>
      </c>
      <c r="E53" s="12">
        <v>6</v>
      </c>
      <c r="F53" s="9">
        <v>15.647069997357272</v>
      </c>
      <c r="G53" s="13">
        <v>6.86</v>
      </c>
      <c r="H53" s="14">
        <v>1.0549999999999999</v>
      </c>
      <c r="I53" s="20">
        <v>5.0999999999999996</v>
      </c>
      <c r="J53" s="15">
        <v>40</v>
      </c>
      <c r="K53" s="1">
        <v>3</v>
      </c>
    </row>
    <row r="54" spans="1:11" x14ac:dyDescent="0.2">
      <c r="A54" s="40">
        <v>52</v>
      </c>
      <c r="B54" s="12" t="s">
        <v>13</v>
      </c>
      <c r="C54" s="12" t="s">
        <v>15</v>
      </c>
      <c r="D54" s="16">
        <v>13.369015219719209</v>
      </c>
      <c r="E54" s="12">
        <v>10</v>
      </c>
      <c r="F54" s="9">
        <v>45.137219966745981</v>
      </c>
      <c r="G54" s="13">
        <v>6.86</v>
      </c>
      <c r="H54" s="14">
        <v>1.0549999999999999</v>
      </c>
      <c r="I54" s="20">
        <v>5.0999999999999996</v>
      </c>
      <c r="J54" s="15">
        <v>40</v>
      </c>
      <c r="K54" s="1">
        <v>3</v>
      </c>
    </row>
    <row r="55" spans="1:11" x14ac:dyDescent="0.2">
      <c r="A55" s="40">
        <v>53</v>
      </c>
      <c r="B55" s="12" t="s">
        <v>19</v>
      </c>
      <c r="C55" s="12" t="s">
        <v>15</v>
      </c>
      <c r="D55" s="16">
        <v>16.233804195373324</v>
      </c>
      <c r="E55" s="12">
        <v>13</v>
      </c>
      <c r="F55" s="9">
        <v>98.641412219057898</v>
      </c>
      <c r="G55" s="13">
        <v>6.86</v>
      </c>
      <c r="H55" s="14">
        <v>1.0549999999999999</v>
      </c>
      <c r="I55" s="20">
        <v>5.0999999999999996</v>
      </c>
      <c r="J55" s="15">
        <v>40</v>
      </c>
      <c r="K55" s="1">
        <v>3</v>
      </c>
    </row>
    <row r="56" spans="1:11" x14ac:dyDescent="0.2">
      <c r="A56" s="40">
        <v>54</v>
      </c>
      <c r="B56" s="12" t="s">
        <v>19</v>
      </c>
      <c r="C56" s="12" t="s">
        <v>15</v>
      </c>
      <c r="D56" s="16">
        <v>1.909859317102744</v>
      </c>
      <c r="E56" s="12">
        <v>2.4</v>
      </c>
      <c r="F56" s="9">
        <v>0.31050409776462667</v>
      </c>
      <c r="G56" s="13">
        <v>6.86</v>
      </c>
      <c r="H56" s="14">
        <v>1.0549999999999999</v>
      </c>
      <c r="I56" s="20">
        <v>5.0999999999999996</v>
      </c>
      <c r="J56" s="15">
        <v>40</v>
      </c>
      <c r="K56" s="1">
        <v>3</v>
      </c>
    </row>
    <row r="57" spans="1:11" x14ac:dyDescent="0.2">
      <c r="A57" s="40">
        <v>55</v>
      </c>
      <c r="B57" s="12" t="s">
        <v>19</v>
      </c>
      <c r="C57" s="12" t="s">
        <v>15</v>
      </c>
      <c r="D57" s="16">
        <v>3</v>
      </c>
      <c r="E57" s="12">
        <v>2.5</v>
      </c>
      <c r="F57" s="9">
        <v>0.84205599948031717</v>
      </c>
      <c r="G57" s="13">
        <v>6.86</v>
      </c>
      <c r="H57" s="14">
        <v>1.0549999999999999</v>
      </c>
      <c r="I57" s="20">
        <v>5.0999999999999996</v>
      </c>
      <c r="J57" s="15">
        <v>40</v>
      </c>
      <c r="K57" s="1">
        <v>3</v>
      </c>
    </row>
    <row r="58" spans="1:11" x14ac:dyDescent="0.2">
      <c r="A58" s="40">
        <v>56</v>
      </c>
      <c r="B58" s="12" t="s">
        <v>12</v>
      </c>
      <c r="C58" s="12" t="s">
        <v>15</v>
      </c>
      <c r="D58" s="16">
        <v>3.5014087480216975</v>
      </c>
      <c r="E58" s="12">
        <v>2.2000000000000002</v>
      </c>
      <c r="F58" s="9">
        <v>0.85064926854471168</v>
      </c>
      <c r="G58" s="13">
        <v>6.86</v>
      </c>
      <c r="H58" s="14">
        <v>1.0549999999999999</v>
      </c>
      <c r="I58" s="20">
        <v>5.0999999999999996</v>
      </c>
      <c r="J58" s="15">
        <v>40</v>
      </c>
      <c r="K58" s="1">
        <v>3</v>
      </c>
    </row>
    <row r="59" spans="1:11" x14ac:dyDescent="0.2">
      <c r="A59" s="40">
        <v>57</v>
      </c>
      <c r="B59" s="12" t="s">
        <v>13</v>
      </c>
      <c r="C59" s="12" t="s">
        <v>16</v>
      </c>
      <c r="D59" s="16">
        <v>33.74084793548181</v>
      </c>
      <c r="E59" s="12">
        <v>21.6</v>
      </c>
      <c r="F59" s="9">
        <v>470.90183354811325</v>
      </c>
      <c r="G59" s="13">
        <v>4.18</v>
      </c>
      <c r="H59" s="14">
        <v>0.65200000000000002</v>
      </c>
      <c r="I59" s="14">
        <v>4.5599999999999996</v>
      </c>
      <c r="J59" s="15">
        <v>8</v>
      </c>
      <c r="K59" s="1">
        <v>3</v>
      </c>
    </row>
    <row r="60" spans="1:11" x14ac:dyDescent="0.2">
      <c r="A60" s="40">
        <v>58</v>
      </c>
      <c r="B60" s="12" t="s">
        <v>13</v>
      </c>
      <c r="C60" s="12" t="s">
        <v>16</v>
      </c>
      <c r="D60" s="16">
        <v>41.38028520389279</v>
      </c>
      <c r="E60" s="12">
        <v>23</v>
      </c>
      <c r="F60" s="9">
        <v>676.49630632373021</v>
      </c>
      <c r="G60" s="13">
        <v>4.18</v>
      </c>
      <c r="H60" s="14">
        <v>0.65200000000000002</v>
      </c>
      <c r="I60" s="14">
        <v>4.5599999999999996</v>
      </c>
      <c r="J60" s="15">
        <v>8</v>
      </c>
      <c r="K60" s="1">
        <v>3</v>
      </c>
    </row>
    <row r="61" spans="1:11" x14ac:dyDescent="0.2">
      <c r="A61" s="40">
        <v>59</v>
      </c>
      <c r="B61" s="12" t="s">
        <v>13</v>
      </c>
      <c r="C61" s="12" t="s">
        <v>16</v>
      </c>
      <c r="D61" s="16">
        <v>32.785918276930438</v>
      </c>
      <c r="E61" s="12">
        <v>18</v>
      </c>
      <c r="F61" s="9">
        <v>348.21683262456014</v>
      </c>
      <c r="G61" s="13">
        <v>4.18</v>
      </c>
      <c r="H61" s="14">
        <v>0.65200000000000002</v>
      </c>
      <c r="I61" s="14">
        <v>4.5599999999999996</v>
      </c>
      <c r="J61" s="15">
        <v>8</v>
      </c>
      <c r="K61" s="1">
        <v>3</v>
      </c>
    </row>
    <row r="62" spans="1:11" x14ac:dyDescent="0.2">
      <c r="A62" s="40">
        <v>60</v>
      </c>
      <c r="B62" s="12" t="s">
        <v>13</v>
      </c>
      <c r="C62" s="12" t="s">
        <v>16</v>
      </c>
      <c r="D62" s="16">
        <v>32.785918276930438</v>
      </c>
      <c r="E62" s="12">
        <v>19</v>
      </c>
      <c r="F62" s="9">
        <v>376.53333027579066</v>
      </c>
      <c r="G62" s="13">
        <v>4.18</v>
      </c>
      <c r="H62" s="14">
        <v>0.65200000000000002</v>
      </c>
      <c r="I62" s="14">
        <v>4.5599999999999996</v>
      </c>
      <c r="J62" s="15">
        <v>8</v>
      </c>
      <c r="K62" s="1">
        <v>3</v>
      </c>
    </row>
    <row r="63" spans="1:11" x14ac:dyDescent="0.2">
      <c r="A63" s="57">
        <v>61</v>
      </c>
      <c r="B63" s="12" t="s">
        <v>18</v>
      </c>
      <c r="C63" s="12" t="s">
        <v>16</v>
      </c>
      <c r="D63" s="16">
        <v>3.5014087480216975</v>
      </c>
      <c r="E63" s="12">
        <v>3</v>
      </c>
      <c r="F63" s="9">
        <v>2.4793457638415228</v>
      </c>
      <c r="G63" s="13">
        <v>4.18</v>
      </c>
      <c r="H63" s="14">
        <v>0.65200000000000002</v>
      </c>
      <c r="I63" s="14">
        <v>4.5599999999999996</v>
      </c>
      <c r="J63" s="15">
        <v>8</v>
      </c>
      <c r="K63" s="1">
        <v>3</v>
      </c>
    </row>
    <row r="64" spans="1:11" x14ac:dyDescent="0.2">
      <c r="A64" s="40">
        <v>62</v>
      </c>
      <c r="B64" s="12" t="s">
        <v>13</v>
      </c>
      <c r="C64" s="12" t="s">
        <v>16</v>
      </c>
      <c r="D64" s="16">
        <v>3.183098861837907</v>
      </c>
      <c r="E64" s="12">
        <v>2.5</v>
      </c>
      <c r="F64" s="9">
        <v>0.90151338345451826</v>
      </c>
      <c r="G64" s="13">
        <v>4.18</v>
      </c>
      <c r="H64" s="14">
        <v>0.65200000000000002</v>
      </c>
      <c r="I64" s="14">
        <v>4.5599999999999996</v>
      </c>
      <c r="J64" s="15">
        <v>8</v>
      </c>
      <c r="K64" s="1">
        <v>3</v>
      </c>
    </row>
    <row r="65" spans="1:11" x14ac:dyDescent="0.2">
      <c r="A65" s="40">
        <v>63</v>
      </c>
      <c r="B65" s="12" t="s">
        <v>18</v>
      </c>
      <c r="C65" s="12" t="s">
        <v>16</v>
      </c>
      <c r="D65" s="16">
        <v>1.909859317102744</v>
      </c>
      <c r="E65" s="12">
        <v>1.7</v>
      </c>
      <c r="F65" s="9">
        <v>0.58133526295019899</v>
      </c>
      <c r="G65" s="13">
        <v>4.18</v>
      </c>
      <c r="H65" s="14">
        <v>0.65200000000000002</v>
      </c>
      <c r="I65" s="14">
        <v>4.5599999999999996</v>
      </c>
      <c r="J65" s="15">
        <v>8</v>
      </c>
      <c r="K65" s="1">
        <v>3</v>
      </c>
    </row>
    <row r="66" spans="1:11" x14ac:dyDescent="0.2">
      <c r="A66" s="40">
        <v>64</v>
      </c>
      <c r="B66" s="12" t="s">
        <v>13</v>
      </c>
      <c r="C66" s="12" t="s">
        <v>16</v>
      </c>
      <c r="D66" s="16">
        <v>36.605636911135932</v>
      </c>
      <c r="E66" s="12">
        <v>22</v>
      </c>
      <c r="F66" s="9">
        <v>538.92498688488263</v>
      </c>
      <c r="G66" s="13">
        <v>4.18</v>
      </c>
      <c r="H66" s="14">
        <v>0.65200000000000002</v>
      </c>
      <c r="I66" s="14">
        <v>4.5599999999999996</v>
      </c>
      <c r="J66" s="15">
        <v>8</v>
      </c>
      <c r="K66" s="1">
        <v>3</v>
      </c>
    </row>
    <row r="67" spans="1:11" x14ac:dyDescent="0.2">
      <c r="A67" s="40">
        <v>65</v>
      </c>
      <c r="B67" s="12" t="s">
        <v>13</v>
      </c>
      <c r="C67" s="12" t="s">
        <v>16</v>
      </c>
      <c r="D67" s="16">
        <v>35.014087480216972</v>
      </c>
      <c r="E67" s="12">
        <v>22</v>
      </c>
      <c r="F67" s="9">
        <v>507.98458413563446</v>
      </c>
      <c r="G67" s="13">
        <v>4.18</v>
      </c>
      <c r="H67" s="14">
        <v>0.65200000000000002</v>
      </c>
      <c r="I67" s="14">
        <v>4.5599999999999996</v>
      </c>
      <c r="J67" s="15">
        <v>8</v>
      </c>
      <c r="K67" s="1">
        <v>3</v>
      </c>
    </row>
    <row r="68" spans="1:11" x14ac:dyDescent="0.2">
      <c r="A68" s="40">
        <v>66</v>
      </c>
      <c r="B68" s="12" t="s">
        <v>13</v>
      </c>
      <c r="C68" s="12" t="s">
        <v>16</v>
      </c>
      <c r="D68" s="16">
        <v>33.74084793548181</v>
      </c>
      <c r="E68" s="12">
        <v>20</v>
      </c>
      <c r="F68" s="9">
        <v>421.30792745940761</v>
      </c>
      <c r="G68" s="13">
        <v>4.18</v>
      </c>
      <c r="H68" s="14">
        <v>0.65200000000000002</v>
      </c>
      <c r="I68" s="14">
        <v>4.5599999999999996</v>
      </c>
      <c r="J68" s="15">
        <v>8</v>
      </c>
      <c r="K68" s="1">
        <v>3</v>
      </c>
    </row>
    <row r="69" spans="1:11" x14ac:dyDescent="0.2">
      <c r="A69" s="40">
        <v>67</v>
      </c>
      <c r="B69" s="12" t="s">
        <v>13</v>
      </c>
      <c r="C69" s="12" t="s">
        <v>16</v>
      </c>
      <c r="D69" s="16">
        <v>1.2732395447351628</v>
      </c>
      <c r="E69" s="12">
        <v>1.5</v>
      </c>
      <c r="F69" s="9">
        <v>0.12731479672253104</v>
      </c>
      <c r="G69" s="13">
        <v>4.18</v>
      </c>
      <c r="H69" s="14">
        <v>0.65200000000000002</v>
      </c>
      <c r="I69" s="14">
        <v>4.5599999999999996</v>
      </c>
      <c r="J69" s="15">
        <v>8</v>
      </c>
      <c r="K69" s="1">
        <v>3</v>
      </c>
    </row>
    <row r="70" spans="1:11" x14ac:dyDescent="0.2">
      <c r="A70" s="40">
        <v>68</v>
      </c>
      <c r="B70" s="12" t="s">
        <v>13</v>
      </c>
      <c r="C70" s="12" t="s">
        <v>16</v>
      </c>
      <c r="D70" s="16">
        <v>22.918311805232928</v>
      </c>
      <c r="E70" s="12">
        <v>17</v>
      </c>
      <c r="F70" s="9">
        <v>199.1214378867364</v>
      </c>
      <c r="G70" s="13">
        <v>4.18</v>
      </c>
      <c r="H70" s="14">
        <v>0.65200000000000002</v>
      </c>
      <c r="I70" s="14">
        <v>4.5599999999999996</v>
      </c>
      <c r="J70" s="15">
        <v>8</v>
      </c>
      <c r="K70" s="1">
        <v>3</v>
      </c>
    </row>
    <row r="71" spans="1:11" x14ac:dyDescent="0.2">
      <c r="A71" s="40">
        <v>69</v>
      </c>
      <c r="B71" s="12" t="s">
        <v>13</v>
      </c>
      <c r="C71" s="12" t="s">
        <v>16</v>
      </c>
      <c r="D71" s="16">
        <v>31.830988618379067</v>
      </c>
      <c r="E71" s="12">
        <v>21</v>
      </c>
      <c r="F71" s="9">
        <v>418.38877674283964</v>
      </c>
      <c r="G71" s="13">
        <v>4.18</v>
      </c>
      <c r="H71" s="14">
        <v>0.65200000000000002</v>
      </c>
      <c r="I71" s="14">
        <v>4.5599999999999996</v>
      </c>
      <c r="J71" s="15">
        <v>8</v>
      </c>
      <c r="K71" s="1">
        <v>3</v>
      </c>
    </row>
    <row r="72" spans="1:11" x14ac:dyDescent="0.2">
      <c r="A72" s="40">
        <v>70</v>
      </c>
      <c r="B72" s="12" t="s">
        <v>13</v>
      </c>
      <c r="C72" s="12" t="s">
        <v>16</v>
      </c>
      <c r="D72" s="16">
        <v>28.966199642724952</v>
      </c>
      <c r="E72" s="12">
        <v>17</v>
      </c>
      <c r="F72" s="9">
        <v>271.89487536318785</v>
      </c>
      <c r="G72" s="13">
        <v>4.18</v>
      </c>
      <c r="H72" s="14">
        <v>0.65200000000000002</v>
      </c>
      <c r="I72" s="14">
        <v>4.5599999999999996</v>
      </c>
      <c r="J72" s="15">
        <v>8</v>
      </c>
      <c r="K72" s="1">
        <v>3</v>
      </c>
    </row>
    <row r="73" spans="1:11" x14ac:dyDescent="0.2">
      <c r="A73" s="57">
        <v>71</v>
      </c>
      <c r="B73" s="12" t="s">
        <v>19</v>
      </c>
      <c r="C73" s="12" t="s">
        <v>16</v>
      </c>
      <c r="D73" s="16">
        <v>1.2732395447351628</v>
      </c>
      <c r="E73" s="12">
        <v>2</v>
      </c>
      <c r="F73" s="9">
        <v>0.11464419061197367</v>
      </c>
      <c r="G73" s="13">
        <v>4.18</v>
      </c>
      <c r="H73" s="14">
        <v>0.65200000000000002</v>
      </c>
      <c r="I73" s="14">
        <v>4.5599999999999996</v>
      </c>
      <c r="J73" s="15">
        <v>8</v>
      </c>
      <c r="K73" s="1">
        <v>3</v>
      </c>
    </row>
    <row r="74" spans="1:11" x14ac:dyDescent="0.2">
      <c r="A74" s="40">
        <v>72</v>
      </c>
      <c r="B74" s="12" t="s">
        <v>13</v>
      </c>
      <c r="C74" s="12" t="s">
        <v>16</v>
      </c>
      <c r="D74" s="16">
        <v>33.104228163114229</v>
      </c>
      <c r="E74" s="12">
        <v>19</v>
      </c>
      <c r="F74" s="9">
        <v>381.403502979812</v>
      </c>
      <c r="G74" s="13">
        <v>4.18</v>
      </c>
      <c r="H74" s="14">
        <v>0.65200000000000002</v>
      </c>
      <c r="I74" s="14">
        <v>4.5599999999999996</v>
      </c>
      <c r="J74" s="15">
        <v>8</v>
      </c>
      <c r="K74" s="1">
        <v>3</v>
      </c>
    </row>
    <row r="75" spans="1:11" x14ac:dyDescent="0.2">
      <c r="A75" s="40">
        <v>73</v>
      </c>
      <c r="B75" s="12" t="s">
        <v>13</v>
      </c>
      <c r="C75" s="12" t="s">
        <v>16</v>
      </c>
      <c r="D75" s="16">
        <v>29.921129301276324</v>
      </c>
      <c r="E75" s="12">
        <v>18</v>
      </c>
      <c r="F75" s="9">
        <v>308.34174533721006</v>
      </c>
      <c r="G75" s="13">
        <v>4.18</v>
      </c>
      <c r="H75" s="14">
        <v>0.65200000000000002</v>
      </c>
      <c r="I75" s="14">
        <v>4.5599999999999996</v>
      </c>
      <c r="J75" s="15">
        <v>8</v>
      </c>
      <c r="K75" s="1">
        <v>3</v>
      </c>
    </row>
    <row r="76" spans="1:11" x14ac:dyDescent="0.2">
      <c r="A76" s="40">
        <v>74</v>
      </c>
      <c r="B76" s="12" t="s">
        <v>19</v>
      </c>
      <c r="C76" s="12" t="s">
        <v>16</v>
      </c>
      <c r="D76" s="16">
        <v>2.8647889756541161</v>
      </c>
      <c r="E76" s="12">
        <v>2</v>
      </c>
      <c r="F76" s="9">
        <v>0.65375870158913463</v>
      </c>
      <c r="G76" s="13">
        <v>4.18</v>
      </c>
      <c r="H76" s="14">
        <v>0.65200000000000002</v>
      </c>
      <c r="I76" s="14">
        <v>4.5599999999999996</v>
      </c>
      <c r="J76" s="15">
        <v>8</v>
      </c>
      <c r="K76" s="1">
        <v>3</v>
      </c>
    </row>
    <row r="77" spans="1:11" x14ac:dyDescent="0.2">
      <c r="A77" s="40">
        <v>75</v>
      </c>
      <c r="B77" s="12" t="s">
        <v>13</v>
      </c>
      <c r="C77" s="12" t="s">
        <v>16</v>
      </c>
      <c r="D77" s="16">
        <v>35.014087480216972</v>
      </c>
      <c r="E77" s="12">
        <v>20</v>
      </c>
      <c r="F77" s="9">
        <v>442.58501971043921</v>
      </c>
      <c r="G77" s="13">
        <v>4.18</v>
      </c>
      <c r="H77" s="14">
        <v>0.65200000000000002</v>
      </c>
      <c r="I77" s="14">
        <v>4.5599999999999996</v>
      </c>
      <c r="J77" s="15">
        <v>8</v>
      </c>
      <c r="K77" s="1">
        <v>3</v>
      </c>
    </row>
    <row r="78" spans="1:11" x14ac:dyDescent="0.2">
      <c r="A78" s="40">
        <v>76</v>
      </c>
      <c r="B78" s="12" t="s">
        <v>13</v>
      </c>
      <c r="C78" s="12" t="s">
        <v>16</v>
      </c>
      <c r="D78" s="16">
        <v>31.830988618379067</v>
      </c>
      <c r="E78" s="12">
        <v>19</v>
      </c>
      <c r="F78" s="9">
        <v>362.0167230716018</v>
      </c>
      <c r="G78" s="13">
        <v>4.18</v>
      </c>
      <c r="H78" s="14">
        <v>0.65200000000000002</v>
      </c>
      <c r="I78" s="14">
        <v>4.5599999999999996</v>
      </c>
      <c r="J78" s="15">
        <v>8</v>
      </c>
      <c r="K78" s="1">
        <v>3</v>
      </c>
    </row>
    <row r="79" spans="1:11" x14ac:dyDescent="0.2">
      <c r="A79" s="40">
        <v>77</v>
      </c>
      <c r="B79" s="12" t="s">
        <v>13</v>
      </c>
      <c r="C79" s="12" t="s">
        <v>16</v>
      </c>
      <c r="D79" s="16">
        <v>2.5464790894703255</v>
      </c>
      <c r="E79" s="12">
        <v>20</v>
      </c>
      <c r="F79" s="9">
        <v>13.550031079039529</v>
      </c>
      <c r="G79" s="13">
        <v>4.18</v>
      </c>
      <c r="H79" s="14">
        <v>0.65200000000000002</v>
      </c>
      <c r="I79" s="14">
        <v>4.5599999999999996</v>
      </c>
      <c r="J79" s="15">
        <v>8</v>
      </c>
      <c r="K79" s="1">
        <v>3</v>
      </c>
    </row>
    <row r="80" spans="1:11" x14ac:dyDescent="0.2">
      <c r="A80" s="40">
        <v>78</v>
      </c>
      <c r="B80" s="12" t="s">
        <v>13</v>
      </c>
      <c r="C80" s="12" t="s">
        <v>16</v>
      </c>
      <c r="D80" s="16">
        <v>38.197186342054884</v>
      </c>
      <c r="E80" s="12">
        <v>18</v>
      </c>
      <c r="F80" s="9">
        <v>426.67180358437929</v>
      </c>
      <c r="G80" s="13">
        <v>4.18</v>
      </c>
      <c r="H80" s="14">
        <v>0.65200000000000002</v>
      </c>
      <c r="I80" s="14">
        <v>4.5599999999999996</v>
      </c>
      <c r="J80" s="15">
        <v>8</v>
      </c>
      <c r="K80" s="1">
        <v>3</v>
      </c>
    </row>
    <row r="81" spans="1:11" x14ac:dyDescent="0.2">
      <c r="A81" s="40">
        <v>79</v>
      </c>
      <c r="B81" s="12" t="s">
        <v>19</v>
      </c>
      <c r="C81" s="12" t="s">
        <v>16</v>
      </c>
      <c r="D81" s="16">
        <v>2.5464790894703255</v>
      </c>
      <c r="E81" s="12">
        <v>1.8</v>
      </c>
      <c r="F81" s="9">
        <v>0.47206643721907598</v>
      </c>
      <c r="G81" s="13">
        <v>4.18</v>
      </c>
      <c r="H81" s="14">
        <v>0.65200000000000002</v>
      </c>
      <c r="I81" s="14">
        <v>4.5599999999999996</v>
      </c>
      <c r="J81" s="15">
        <v>8</v>
      </c>
      <c r="K81" s="1">
        <v>3</v>
      </c>
    </row>
    <row r="82" spans="1:11" x14ac:dyDescent="0.2">
      <c r="A82" s="40">
        <v>80</v>
      </c>
      <c r="B82" s="12" t="s">
        <v>13</v>
      </c>
      <c r="C82" s="12" t="s">
        <v>16</v>
      </c>
      <c r="D82" s="16">
        <v>29.284509528908742</v>
      </c>
      <c r="E82" s="12">
        <v>18</v>
      </c>
      <c r="F82" s="9">
        <v>299.6464642042888</v>
      </c>
      <c r="G82" s="13">
        <v>4.18</v>
      </c>
      <c r="H82" s="14">
        <v>0.65200000000000002</v>
      </c>
      <c r="I82" s="14">
        <v>4.5599999999999996</v>
      </c>
      <c r="J82" s="15">
        <v>8</v>
      </c>
      <c r="K82" s="1">
        <v>3</v>
      </c>
    </row>
    <row r="83" spans="1:11" x14ac:dyDescent="0.2">
      <c r="A83" s="57">
        <v>81</v>
      </c>
      <c r="B83" s="12" t="s">
        <v>19</v>
      </c>
      <c r="C83" s="12" t="s">
        <v>15</v>
      </c>
      <c r="D83" s="10">
        <f>162/PI()</f>
        <v>51.566201561774093</v>
      </c>
      <c r="E83" s="12">
        <v>35</v>
      </c>
      <c r="F83" s="9">
        <f>EXP(-3.0039 +2.1151*LN(D83)+0.6733*LN(E83))*1.0106</f>
        <v>2298.5112064104078</v>
      </c>
      <c r="G83" s="13">
        <v>5.87</v>
      </c>
      <c r="H83" s="14">
        <v>1.321</v>
      </c>
      <c r="I83" s="14">
        <v>4.7</v>
      </c>
      <c r="J83" s="15">
        <v>42</v>
      </c>
      <c r="K83" s="1">
        <v>4</v>
      </c>
    </row>
    <row r="84" spans="1:11" x14ac:dyDescent="0.2">
      <c r="A84" s="40">
        <v>82</v>
      </c>
      <c r="B84" s="12" t="s">
        <v>21</v>
      </c>
      <c r="C84" s="12" t="s">
        <v>15</v>
      </c>
      <c r="D84" s="10">
        <f>185/PI()</f>
        <v>58.887328944001275</v>
      </c>
      <c r="E84" s="12">
        <v>36.9</v>
      </c>
      <c r="F84" s="9">
        <f t="shared" ref="F84:F85" si="5">(0.593*D84^0.46)*(E84^1.52)*1.15</f>
        <v>1071.1311858048202</v>
      </c>
      <c r="G84" s="13">
        <v>5.87</v>
      </c>
      <c r="H84" s="14">
        <v>1.321</v>
      </c>
      <c r="I84" s="14">
        <v>4.7</v>
      </c>
      <c r="J84" s="15">
        <v>42</v>
      </c>
      <c r="K84" s="1">
        <v>4</v>
      </c>
    </row>
    <row r="85" spans="1:11" x14ac:dyDescent="0.2">
      <c r="A85" s="40">
        <v>83</v>
      </c>
      <c r="B85" s="12" t="s">
        <v>21</v>
      </c>
      <c r="C85" s="12" t="s">
        <v>15</v>
      </c>
      <c r="D85" s="10">
        <f>26/PI()</f>
        <v>8.2760570407785572</v>
      </c>
      <c r="E85" s="12">
        <v>6.5</v>
      </c>
      <c r="F85" s="9">
        <f t="shared" si="5"/>
        <v>31.015560534670559</v>
      </c>
      <c r="G85" s="13">
        <v>5.87</v>
      </c>
      <c r="H85" s="14">
        <v>1.321</v>
      </c>
      <c r="I85" s="14">
        <v>4.7</v>
      </c>
      <c r="J85" s="15">
        <v>42</v>
      </c>
      <c r="K85" s="1">
        <v>4</v>
      </c>
    </row>
    <row r="86" spans="1:11" x14ac:dyDescent="0.2">
      <c r="A86" s="40">
        <v>84</v>
      </c>
      <c r="B86" s="12" t="s">
        <v>20</v>
      </c>
      <c r="C86" s="12" t="s">
        <v>15</v>
      </c>
      <c r="D86" s="10">
        <f>159/PI()</f>
        <v>50.611271903222722</v>
      </c>
      <c r="E86" s="12">
        <v>35</v>
      </c>
      <c r="F86" s="9">
        <f>EXP(-2.98+2.12*LN(D86)+0.65*LN(E86))</f>
        <v>2101.1199491552234</v>
      </c>
      <c r="G86" s="13">
        <v>5.87</v>
      </c>
      <c r="H86" s="14">
        <v>1.321</v>
      </c>
      <c r="I86" s="14">
        <v>4.7</v>
      </c>
      <c r="J86" s="15">
        <v>42</v>
      </c>
      <c r="K86" s="1">
        <v>4</v>
      </c>
    </row>
    <row r="87" spans="1:11" x14ac:dyDescent="0.2">
      <c r="A87" s="40">
        <v>85</v>
      </c>
      <c r="B87" s="12" t="s">
        <v>12</v>
      </c>
      <c r="C87" s="12" t="s">
        <v>15</v>
      </c>
      <c r="D87" s="10">
        <f>16/PI()</f>
        <v>5.0929581789406511</v>
      </c>
      <c r="E87" s="12">
        <v>4</v>
      </c>
      <c r="F87" s="9">
        <f>(0.593*D87^0.46)*(E87^1.52)*1.15</f>
        <v>11.860144247688108</v>
      </c>
      <c r="G87" s="13">
        <v>5.87</v>
      </c>
      <c r="H87" s="14">
        <v>1.321</v>
      </c>
      <c r="I87" s="14">
        <v>4.7</v>
      </c>
      <c r="J87" s="15">
        <v>42</v>
      </c>
      <c r="K87" s="1">
        <v>4</v>
      </c>
    </row>
    <row r="88" spans="1:11" x14ac:dyDescent="0.2">
      <c r="A88" s="40">
        <v>86</v>
      </c>
      <c r="B88" s="12" t="s">
        <v>19</v>
      </c>
      <c r="C88" s="12" t="s">
        <v>15</v>
      </c>
      <c r="D88" s="10">
        <f>33/PI()</f>
        <v>10.504226244065093</v>
      </c>
      <c r="E88" s="12">
        <v>9.8000000000000007</v>
      </c>
      <c r="F88" s="9">
        <f t="shared" ref="F88:F89" si="6">EXP(-3.0039 +2.1151*LN(D88)+0.6733*LN(E88))*1.0106</f>
        <v>33.704023969371434</v>
      </c>
      <c r="G88" s="13">
        <v>5.87</v>
      </c>
      <c r="H88" s="14">
        <v>1.321</v>
      </c>
      <c r="I88" s="14">
        <v>4.7</v>
      </c>
      <c r="J88" s="15">
        <v>42</v>
      </c>
      <c r="K88" s="1">
        <v>4</v>
      </c>
    </row>
    <row r="89" spans="1:11" x14ac:dyDescent="0.2">
      <c r="A89" s="40">
        <v>87</v>
      </c>
      <c r="B89" s="12" t="s">
        <v>19</v>
      </c>
      <c r="C89" s="12" t="s">
        <v>15</v>
      </c>
      <c r="D89" s="10">
        <f>19/PI()</f>
        <v>6.0478878374920226</v>
      </c>
      <c r="E89" s="12">
        <v>6.8</v>
      </c>
      <c r="F89" s="9">
        <f t="shared" si="6"/>
        <v>8.1978580926232691</v>
      </c>
      <c r="G89" s="13">
        <v>5.87</v>
      </c>
      <c r="H89" s="14">
        <v>1.321</v>
      </c>
      <c r="I89" s="14">
        <v>4.7</v>
      </c>
      <c r="J89" s="15">
        <v>42</v>
      </c>
      <c r="K89" s="1">
        <v>4</v>
      </c>
    </row>
    <row r="90" spans="1:11" x14ac:dyDescent="0.2">
      <c r="A90" s="40">
        <v>88</v>
      </c>
      <c r="B90" s="12" t="s">
        <v>20</v>
      </c>
      <c r="C90" s="12" t="s">
        <v>15</v>
      </c>
      <c r="D90" s="10">
        <f>143/PI()</f>
        <v>45.518313724282066</v>
      </c>
      <c r="E90" s="12">
        <v>35</v>
      </c>
      <c r="F90" s="9">
        <f>EXP(-2.98+2.12*LN(D90)+0.65*LN(E90))</f>
        <v>1678.0362638029537</v>
      </c>
      <c r="G90" s="13">
        <v>5.87</v>
      </c>
      <c r="H90" s="14">
        <v>1.321</v>
      </c>
      <c r="I90" s="14">
        <v>4.7</v>
      </c>
      <c r="J90" s="15">
        <v>42</v>
      </c>
      <c r="K90" s="1">
        <v>4</v>
      </c>
    </row>
    <row r="91" spans="1:11" x14ac:dyDescent="0.2">
      <c r="A91" s="40">
        <v>89</v>
      </c>
      <c r="B91" s="12" t="s">
        <v>21</v>
      </c>
      <c r="C91" s="12" t="s">
        <v>16</v>
      </c>
      <c r="D91" s="10">
        <f>106/PI()</f>
        <v>33.74084793548181</v>
      </c>
      <c r="E91" s="12">
        <v>21.3</v>
      </c>
      <c r="F91" s="9">
        <f t="shared" ref="F91:F98" si="7">(0.593*D91^0.46)*(E91^1.52)*1.15</f>
        <v>359.61788915024044</v>
      </c>
      <c r="G91" s="13">
        <v>4.51</v>
      </c>
      <c r="H91" s="14">
        <v>0.32500000000000001</v>
      </c>
      <c r="I91" s="14">
        <v>5.12</v>
      </c>
      <c r="J91" s="15">
        <v>22</v>
      </c>
      <c r="K91" s="1">
        <v>4</v>
      </c>
    </row>
    <row r="92" spans="1:11" x14ac:dyDescent="0.2">
      <c r="A92" s="40">
        <v>90</v>
      </c>
      <c r="B92" s="12" t="s">
        <v>21</v>
      </c>
      <c r="C92" s="12" t="s">
        <v>16</v>
      </c>
      <c r="D92" s="10">
        <f>122/PI()</f>
        <v>38.833806114422465</v>
      </c>
      <c r="E92" s="12">
        <v>20.6</v>
      </c>
      <c r="F92" s="9">
        <f t="shared" si="7"/>
        <v>364.64250333116854</v>
      </c>
      <c r="G92" s="13">
        <v>4.51</v>
      </c>
      <c r="H92" s="14">
        <v>0.32500000000000001</v>
      </c>
      <c r="I92" s="14">
        <v>5.12</v>
      </c>
      <c r="J92" s="15">
        <v>22</v>
      </c>
      <c r="K92" s="1">
        <v>4</v>
      </c>
    </row>
    <row r="93" spans="1:11" x14ac:dyDescent="0.2">
      <c r="A93" s="57">
        <v>91</v>
      </c>
      <c r="B93" s="12" t="s">
        <v>21</v>
      </c>
      <c r="C93" s="12" t="s">
        <v>16</v>
      </c>
      <c r="D93" s="10">
        <f>62/PI()</f>
        <v>19.735212943395023</v>
      </c>
      <c r="E93" s="12">
        <v>15.6</v>
      </c>
      <c r="F93" s="9">
        <f t="shared" si="7"/>
        <v>175.03026847633677</v>
      </c>
      <c r="G93" s="13">
        <v>4.51</v>
      </c>
      <c r="H93" s="14">
        <v>0.32500000000000001</v>
      </c>
      <c r="I93" s="14">
        <v>5.12</v>
      </c>
      <c r="J93" s="15">
        <v>22</v>
      </c>
      <c r="K93" s="1">
        <v>4</v>
      </c>
    </row>
    <row r="94" spans="1:11" x14ac:dyDescent="0.2">
      <c r="A94" s="40">
        <v>92</v>
      </c>
      <c r="B94" s="12" t="s">
        <v>21</v>
      </c>
      <c r="C94" s="12" t="s">
        <v>16</v>
      </c>
      <c r="D94" s="10">
        <f>100/PI()</f>
        <v>31.830988618379067</v>
      </c>
      <c r="E94" s="12">
        <v>21.9</v>
      </c>
      <c r="F94" s="9">
        <f t="shared" si="7"/>
        <v>365.20662467993549</v>
      </c>
      <c r="G94" s="13">
        <v>4.51</v>
      </c>
      <c r="H94" s="14">
        <v>0.32500000000000001</v>
      </c>
      <c r="I94" s="14">
        <v>5.12</v>
      </c>
      <c r="J94" s="15">
        <v>22</v>
      </c>
      <c r="K94" s="1">
        <v>4</v>
      </c>
    </row>
    <row r="95" spans="1:11" x14ac:dyDescent="0.2">
      <c r="A95" s="40">
        <v>93</v>
      </c>
      <c r="B95" s="12" t="s">
        <v>21</v>
      </c>
      <c r="C95" s="12" t="s">
        <v>16</v>
      </c>
      <c r="D95" s="10">
        <f>95/PI()</f>
        <v>30.239439187460114</v>
      </c>
      <c r="E95" s="12">
        <v>20.6</v>
      </c>
      <c r="F95" s="9">
        <f t="shared" si="7"/>
        <v>325.0084299319451</v>
      </c>
      <c r="G95" s="13">
        <v>4.51</v>
      </c>
      <c r="H95" s="14">
        <v>0.32500000000000001</v>
      </c>
      <c r="I95" s="14">
        <v>5.12</v>
      </c>
      <c r="J95" s="15">
        <v>22</v>
      </c>
      <c r="K95" s="1">
        <v>4</v>
      </c>
    </row>
    <row r="96" spans="1:11" x14ac:dyDescent="0.2">
      <c r="A96" s="40">
        <v>94</v>
      </c>
      <c r="B96" s="12" t="s">
        <v>21</v>
      </c>
      <c r="C96" s="12" t="s">
        <v>16</v>
      </c>
      <c r="D96" s="10">
        <f>148/PI()</f>
        <v>47.109863155201019</v>
      </c>
      <c r="E96" s="12">
        <v>22</v>
      </c>
      <c r="F96" s="9">
        <f t="shared" si="7"/>
        <v>440.41941550055702</v>
      </c>
      <c r="G96" s="13">
        <v>4.51</v>
      </c>
      <c r="H96" s="14">
        <v>0.32500000000000001</v>
      </c>
      <c r="I96" s="14">
        <v>5.12</v>
      </c>
      <c r="J96" s="15">
        <v>22</v>
      </c>
      <c r="K96" s="1">
        <v>4</v>
      </c>
    </row>
    <row r="97" spans="1:11" x14ac:dyDescent="0.2">
      <c r="A97" s="40">
        <v>95</v>
      </c>
      <c r="B97" s="12" t="s">
        <v>21</v>
      </c>
      <c r="C97" s="12" t="s">
        <v>16</v>
      </c>
      <c r="D97" s="10">
        <f>128/PI()</f>
        <v>40.743665431525208</v>
      </c>
      <c r="E97" s="12">
        <v>22.9</v>
      </c>
      <c r="F97" s="9">
        <f t="shared" si="7"/>
        <v>437.85479640431606</v>
      </c>
      <c r="G97" s="13">
        <v>4.51</v>
      </c>
      <c r="H97" s="14">
        <v>0.32500000000000001</v>
      </c>
      <c r="I97" s="14">
        <v>5.12</v>
      </c>
      <c r="J97" s="15">
        <v>22</v>
      </c>
      <c r="K97" s="1">
        <v>4</v>
      </c>
    </row>
    <row r="98" spans="1:11" x14ac:dyDescent="0.2">
      <c r="A98" s="40">
        <v>96</v>
      </c>
      <c r="B98" s="12" t="s">
        <v>21</v>
      </c>
      <c r="C98" s="12" t="s">
        <v>16</v>
      </c>
      <c r="D98" s="10">
        <f>15/PI()</f>
        <v>4.7746482927568605</v>
      </c>
      <c r="E98" s="12">
        <v>4.4000000000000004</v>
      </c>
      <c r="F98" s="9">
        <f t="shared" si="7"/>
        <v>13.30802596999669</v>
      </c>
      <c r="G98" s="13">
        <v>4.51</v>
      </c>
      <c r="H98" s="14">
        <v>0.32500000000000001</v>
      </c>
      <c r="I98" s="14">
        <v>5.12</v>
      </c>
      <c r="J98" s="15">
        <v>22</v>
      </c>
      <c r="K98" s="1">
        <v>4</v>
      </c>
    </row>
    <row r="99" spans="1:11" x14ac:dyDescent="0.2">
      <c r="A99" s="40">
        <v>97</v>
      </c>
      <c r="B99" s="12" t="s">
        <v>19</v>
      </c>
      <c r="C99" s="12" t="s">
        <v>16</v>
      </c>
      <c r="D99" s="10">
        <f>16/PI()</f>
        <v>5.0929581789406511</v>
      </c>
      <c r="E99" s="12">
        <v>4.7</v>
      </c>
      <c r="F99" s="9">
        <f>EXP(-3.0039 +2.1151*LN(D99)+0.6733*LN(E99))*1.0106</f>
        <v>4.4446551119515316</v>
      </c>
      <c r="G99" s="13">
        <v>4.51</v>
      </c>
      <c r="H99" s="14">
        <v>0.32500000000000001</v>
      </c>
      <c r="I99" s="14">
        <v>5.12</v>
      </c>
      <c r="J99" s="15">
        <v>22</v>
      </c>
      <c r="K99" s="1">
        <v>4</v>
      </c>
    </row>
    <row r="100" spans="1:11" x14ac:dyDescent="0.2">
      <c r="A100" s="40">
        <v>98</v>
      </c>
      <c r="B100" s="12" t="s">
        <v>21</v>
      </c>
      <c r="C100" s="12" t="s">
        <v>16</v>
      </c>
      <c r="D100" s="10">
        <f>7/PI()</f>
        <v>2.228169203286535</v>
      </c>
      <c r="E100" s="12">
        <v>2.5</v>
      </c>
      <c r="F100" s="9">
        <f>(0.593*D100^0.46)*(E100^1.52)*1.15</f>
        <v>3.968967145203492</v>
      </c>
      <c r="G100" s="13">
        <v>4.51</v>
      </c>
      <c r="H100" s="14">
        <v>0.32500000000000001</v>
      </c>
      <c r="I100" s="14">
        <v>5.12</v>
      </c>
      <c r="J100" s="15">
        <v>22</v>
      </c>
      <c r="K100" s="1">
        <v>4</v>
      </c>
    </row>
    <row r="101" spans="1:11" x14ac:dyDescent="0.2">
      <c r="A101" s="40">
        <v>99</v>
      </c>
      <c r="B101" s="12" t="s">
        <v>19</v>
      </c>
      <c r="C101" s="12" t="s">
        <v>15</v>
      </c>
      <c r="D101" s="12" t="s">
        <v>22</v>
      </c>
      <c r="E101" s="12">
        <v>2.5</v>
      </c>
      <c r="F101" s="15" t="s">
        <v>22</v>
      </c>
      <c r="G101" s="13">
        <v>1.42</v>
      </c>
      <c r="H101" s="46">
        <v>0.36310322630000003</v>
      </c>
      <c r="I101" s="14">
        <v>5.24</v>
      </c>
      <c r="J101" s="15">
        <v>10</v>
      </c>
      <c r="K101" s="1">
        <v>5</v>
      </c>
    </row>
    <row r="102" spans="1:11" x14ac:dyDescent="0.2">
      <c r="A102" s="40">
        <v>100</v>
      </c>
      <c r="B102" s="12" t="s">
        <v>12</v>
      </c>
      <c r="C102" s="12" t="s">
        <v>15</v>
      </c>
      <c r="D102" s="12" t="s">
        <v>22</v>
      </c>
      <c r="E102" s="12">
        <v>3</v>
      </c>
      <c r="F102" s="15" t="s">
        <v>22</v>
      </c>
      <c r="G102" s="13">
        <v>1.42</v>
      </c>
      <c r="H102" s="46">
        <v>0.36310322630000003</v>
      </c>
      <c r="I102" s="14">
        <v>5.24</v>
      </c>
      <c r="J102" s="15">
        <v>10</v>
      </c>
      <c r="K102" s="1">
        <v>5</v>
      </c>
    </row>
    <row r="103" spans="1:11" x14ac:dyDescent="0.2">
      <c r="A103" s="57">
        <v>101</v>
      </c>
      <c r="B103" s="12" t="s">
        <v>12</v>
      </c>
      <c r="C103" s="12" t="s">
        <v>15</v>
      </c>
      <c r="D103" s="12" t="s">
        <v>22</v>
      </c>
      <c r="E103" s="12">
        <v>1.5</v>
      </c>
      <c r="F103" s="15" t="s">
        <v>22</v>
      </c>
      <c r="G103" s="13">
        <v>1.42</v>
      </c>
      <c r="H103" s="46">
        <v>0.36310322630000003</v>
      </c>
      <c r="I103" s="14">
        <v>5.24</v>
      </c>
      <c r="J103" s="15">
        <v>10</v>
      </c>
      <c r="K103" s="1">
        <v>5</v>
      </c>
    </row>
    <row r="104" spans="1:11" x14ac:dyDescent="0.2">
      <c r="A104" s="40">
        <v>102</v>
      </c>
      <c r="B104" s="12" t="s">
        <v>19</v>
      </c>
      <c r="C104" s="12" t="s">
        <v>15</v>
      </c>
      <c r="D104" s="10">
        <v>28.011269980000002</v>
      </c>
      <c r="E104" s="12">
        <v>15</v>
      </c>
      <c r="F104" s="15">
        <v>351.5079887</v>
      </c>
      <c r="G104" s="13">
        <v>1.42</v>
      </c>
      <c r="H104" s="46">
        <v>0.36310322630000003</v>
      </c>
      <c r="I104" s="14">
        <v>5.24</v>
      </c>
      <c r="J104" s="15">
        <v>10</v>
      </c>
      <c r="K104" s="1">
        <v>5</v>
      </c>
    </row>
    <row r="105" spans="1:11" x14ac:dyDescent="0.2">
      <c r="A105" s="40">
        <v>103</v>
      </c>
      <c r="B105" s="12" t="s">
        <v>12</v>
      </c>
      <c r="C105" s="12" t="s">
        <v>15</v>
      </c>
      <c r="D105" s="12" t="s">
        <v>22</v>
      </c>
      <c r="E105" s="12">
        <v>4</v>
      </c>
      <c r="F105" s="15" t="s">
        <v>22</v>
      </c>
      <c r="G105" s="13">
        <v>1.42</v>
      </c>
      <c r="H105" s="46">
        <v>0.36310322630000003</v>
      </c>
      <c r="I105" s="14">
        <v>5.24</v>
      </c>
      <c r="J105" s="15">
        <v>10</v>
      </c>
      <c r="K105" s="1">
        <v>5</v>
      </c>
    </row>
    <row r="106" spans="1:11" x14ac:dyDescent="0.2">
      <c r="A106" s="40">
        <v>104</v>
      </c>
      <c r="B106" s="12" t="s">
        <v>12</v>
      </c>
      <c r="C106" s="12" t="s">
        <v>15</v>
      </c>
      <c r="D106" s="12" t="s">
        <v>22</v>
      </c>
      <c r="E106" s="12">
        <v>3</v>
      </c>
      <c r="F106" s="15" t="s">
        <v>22</v>
      </c>
      <c r="G106" s="13">
        <v>1.42</v>
      </c>
      <c r="H106" s="46">
        <v>0.36310322630000003</v>
      </c>
      <c r="I106" s="14">
        <v>5.24</v>
      </c>
      <c r="J106" s="15">
        <v>10</v>
      </c>
      <c r="K106" s="1">
        <v>5</v>
      </c>
    </row>
    <row r="107" spans="1:11" x14ac:dyDescent="0.2">
      <c r="A107" s="40">
        <v>105</v>
      </c>
      <c r="B107" s="12" t="s">
        <v>13</v>
      </c>
      <c r="C107" s="12" t="s">
        <v>15</v>
      </c>
      <c r="D107" s="12" t="s">
        <v>22</v>
      </c>
      <c r="E107" s="12">
        <v>5</v>
      </c>
      <c r="F107" s="15" t="s">
        <v>22</v>
      </c>
      <c r="G107" s="13">
        <v>1.42</v>
      </c>
      <c r="H107" s="46">
        <v>0.36310322630000003</v>
      </c>
      <c r="I107" s="14">
        <v>5.24</v>
      </c>
      <c r="J107" s="15">
        <v>10</v>
      </c>
      <c r="K107" s="1">
        <v>5</v>
      </c>
    </row>
    <row r="108" spans="1:11" x14ac:dyDescent="0.2">
      <c r="A108" s="40">
        <v>106</v>
      </c>
      <c r="B108" s="12" t="s">
        <v>13</v>
      </c>
      <c r="C108" s="12" t="s">
        <v>15</v>
      </c>
      <c r="D108" s="12">
        <v>10</v>
      </c>
      <c r="E108" s="12">
        <v>7.5</v>
      </c>
      <c r="F108" s="15">
        <v>20.23711308</v>
      </c>
      <c r="G108" s="13">
        <v>1.42</v>
      </c>
      <c r="H108" s="46">
        <v>0.36310322630000003</v>
      </c>
      <c r="I108" s="14">
        <v>5.24</v>
      </c>
      <c r="J108" s="15">
        <v>10</v>
      </c>
      <c r="K108" s="1">
        <v>5</v>
      </c>
    </row>
    <row r="109" spans="1:11" x14ac:dyDescent="0.2">
      <c r="A109" s="40">
        <v>107</v>
      </c>
      <c r="B109" s="12" t="s">
        <v>19</v>
      </c>
      <c r="C109" s="12" t="s">
        <v>15</v>
      </c>
      <c r="D109" s="12">
        <v>27</v>
      </c>
      <c r="E109" s="12">
        <v>19</v>
      </c>
      <c r="F109" s="15">
        <v>382.45671160000001</v>
      </c>
      <c r="G109" s="13">
        <v>1.42</v>
      </c>
      <c r="H109" s="46">
        <v>0.36310322630000003</v>
      </c>
      <c r="I109" s="14">
        <v>5.24</v>
      </c>
      <c r="J109" s="15">
        <v>10</v>
      </c>
      <c r="K109" s="1">
        <v>5</v>
      </c>
    </row>
    <row r="110" spans="1:11" x14ac:dyDescent="0.2">
      <c r="A110" s="40">
        <v>108</v>
      </c>
      <c r="B110" s="12" t="s">
        <v>13</v>
      </c>
      <c r="C110" s="12" t="s">
        <v>15</v>
      </c>
      <c r="D110" s="12" t="s">
        <v>22</v>
      </c>
      <c r="E110" s="12">
        <v>1.5</v>
      </c>
      <c r="F110" s="15" t="s">
        <v>22</v>
      </c>
      <c r="G110" s="13">
        <v>1.42</v>
      </c>
      <c r="H110" s="46">
        <v>0.36310322630000003</v>
      </c>
      <c r="I110" s="14">
        <v>5.24</v>
      </c>
      <c r="J110" s="15">
        <v>10</v>
      </c>
      <c r="K110" s="1">
        <v>5</v>
      </c>
    </row>
    <row r="111" spans="1:11" x14ac:dyDescent="0.2">
      <c r="A111" s="40">
        <v>109</v>
      </c>
      <c r="B111" s="12" t="s">
        <v>19</v>
      </c>
      <c r="C111" s="12" t="s">
        <v>15</v>
      </c>
      <c r="D111" s="12" t="s">
        <v>22</v>
      </c>
      <c r="E111" s="12">
        <v>2.2000000000000002</v>
      </c>
      <c r="F111" s="15" t="s">
        <v>22</v>
      </c>
      <c r="G111" s="13">
        <v>1.42</v>
      </c>
      <c r="H111" s="46">
        <v>0.36310322630000003</v>
      </c>
      <c r="I111" s="14">
        <v>5.24</v>
      </c>
      <c r="J111" s="15">
        <v>10</v>
      </c>
      <c r="K111" s="1">
        <v>5</v>
      </c>
    </row>
    <row r="112" spans="1:11" x14ac:dyDescent="0.2">
      <c r="A112" s="40">
        <v>110</v>
      </c>
      <c r="B112" s="12" t="s">
        <v>19</v>
      </c>
      <c r="C112" s="12" t="s">
        <v>15</v>
      </c>
      <c r="D112" s="12" t="s">
        <v>22</v>
      </c>
      <c r="E112" s="12">
        <v>4.5</v>
      </c>
      <c r="F112" s="15" t="s">
        <v>22</v>
      </c>
      <c r="G112" s="13">
        <v>1.42</v>
      </c>
      <c r="H112" s="46">
        <v>0.36310322630000003</v>
      </c>
      <c r="I112" s="14">
        <v>5.24</v>
      </c>
      <c r="J112" s="15">
        <v>10</v>
      </c>
      <c r="K112" s="1">
        <v>5</v>
      </c>
    </row>
    <row r="113" spans="1:11" x14ac:dyDescent="0.2">
      <c r="A113" s="57">
        <v>111</v>
      </c>
      <c r="B113" s="12" t="s">
        <v>13</v>
      </c>
      <c r="C113" s="12" t="s">
        <v>15</v>
      </c>
      <c r="D113" s="12" t="s">
        <v>22</v>
      </c>
      <c r="E113" s="12">
        <v>1.4</v>
      </c>
      <c r="F113" s="15" t="s">
        <v>22</v>
      </c>
      <c r="G113" s="13">
        <v>1.42</v>
      </c>
      <c r="H113" s="46">
        <v>0.36310322630000003</v>
      </c>
      <c r="I113" s="14">
        <v>5.24</v>
      </c>
      <c r="J113" s="15">
        <v>10</v>
      </c>
      <c r="K113" s="1">
        <v>5</v>
      </c>
    </row>
    <row r="114" spans="1:11" x14ac:dyDescent="0.2">
      <c r="A114" s="40">
        <v>112</v>
      </c>
      <c r="B114" s="12" t="s">
        <v>19</v>
      </c>
      <c r="C114" s="12" t="s">
        <v>15</v>
      </c>
      <c r="D114" s="12" t="s">
        <v>22</v>
      </c>
      <c r="E114" s="12">
        <v>6</v>
      </c>
      <c r="F114" s="15" t="s">
        <v>22</v>
      </c>
      <c r="G114" s="13">
        <v>1.42</v>
      </c>
      <c r="H114" s="46">
        <v>0.36310322630000003</v>
      </c>
      <c r="I114" s="14">
        <v>5.24</v>
      </c>
      <c r="J114" s="15">
        <v>10</v>
      </c>
      <c r="K114" s="1">
        <v>5</v>
      </c>
    </row>
    <row r="115" spans="1:11" x14ac:dyDescent="0.2">
      <c r="A115" s="40">
        <v>113</v>
      </c>
      <c r="B115" s="12" t="s">
        <v>13</v>
      </c>
      <c r="C115" s="12" t="s">
        <v>15</v>
      </c>
      <c r="D115" s="12" t="s">
        <v>22</v>
      </c>
      <c r="E115" s="12">
        <v>7</v>
      </c>
      <c r="F115" s="15" t="s">
        <v>22</v>
      </c>
      <c r="G115" s="13">
        <v>1.42</v>
      </c>
      <c r="H115" s="46">
        <v>0.36310322630000003</v>
      </c>
      <c r="I115" s="14">
        <v>5.24</v>
      </c>
      <c r="J115" s="15">
        <v>10</v>
      </c>
      <c r="K115" s="1">
        <v>5</v>
      </c>
    </row>
    <row r="116" spans="1:11" x14ac:dyDescent="0.2">
      <c r="A116" s="40">
        <v>114</v>
      </c>
      <c r="B116" s="12" t="s">
        <v>12</v>
      </c>
      <c r="C116" s="12" t="s">
        <v>15</v>
      </c>
      <c r="D116" s="12" t="s">
        <v>22</v>
      </c>
      <c r="E116" s="12">
        <v>2.5</v>
      </c>
      <c r="F116" s="15" t="s">
        <v>22</v>
      </c>
      <c r="G116" s="13">
        <v>1.42</v>
      </c>
      <c r="H116" s="46">
        <v>0.36310322630000003</v>
      </c>
      <c r="I116" s="14">
        <v>5.24</v>
      </c>
      <c r="J116" s="15">
        <v>10</v>
      </c>
      <c r="K116" s="1">
        <v>5</v>
      </c>
    </row>
    <row r="117" spans="1:11" x14ac:dyDescent="0.2">
      <c r="A117" s="40">
        <v>115</v>
      </c>
      <c r="B117" s="12" t="s">
        <v>13</v>
      </c>
      <c r="C117" s="12" t="s">
        <v>15</v>
      </c>
      <c r="D117" s="12" t="s">
        <v>22</v>
      </c>
      <c r="E117" s="12">
        <v>1.5</v>
      </c>
      <c r="F117" s="15" t="s">
        <v>22</v>
      </c>
      <c r="G117" s="13">
        <v>1.42</v>
      </c>
      <c r="H117" s="46">
        <v>0.36310322630000003</v>
      </c>
      <c r="I117" s="14">
        <v>5.24</v>
      </c>
      <c r="J117" s="15">
        <v>10</v>
      </c>
      <c r="K117" s="1">
        <v>5</v>
      </c>
    </row>
    <row r="118" spans="1:11" x14ac:dyDescent="0.2">
      <c r="A118" s="40">
        <v>116</v>
      </c>
      <c r="B118" s="12" t="s">
        <v>19</v>
      </c>
      <c r="C118" s="12" t="s">
        <v>15</v>
      </c>
      <c r="D118" s="12">
        <v>30</v>
      </c>
      <c r="E118" s="12">
        <v>22</v>
      </c>
      <c r="F118" s="15">
        <v>530.64421579999998</v>
      </c>
      <c r="G118" s="13">
        <v>1.42</v>
      </c>
      <c r="H118" s="46">
        <v>0.36310322630000003</v>
      </c>
      <c r="I118" s="14">
        <v>5.24</v>
      </c>
      <c r="J118" s="15">
        <v>10</v>
      </c>
      <c r="K118" s="1">
        <v>5</v>
      </c>
    </row>
    <row r="119" spans="1:11" x14ac:dyDescent="0.2">
      <c r="A119" s="40">
        <v>117</v>
      </c>
      <c r="B119" s="12" t="s">
        <v>23</v>
      </c>
      <c r="C119" s="12" t="s">
        <v>16</v>
      </c>
      <c r="D119" s="12" t="s">
        <v>22</v>
      </c>
      <c r="E119" s="12">
        <v>2</v>
      </c>
      <c r="F119" s="15" t="s">
        <v>22</v>
      </c>
      <c r="G119" s="13">
        <v>4.9400000000000004</v>
      </c>
      <c r="H119" s="14">
        <v>0</v>
      </c>
      <c r="I119" s="14">
        <v>5.23</v>
      </c>
      <c r="J119" s="15">
        <v>11</v>
      </c>
      <c r="K119" s="1">
        <v>5</v>
      </c>
    </row>
    <row r="120" spans="1:11" x14ac:dyDescent="0.2">
      <c r="A120" s="40">
        <v>118</v>
      </c>
      <c r="B120" s="12" t="s">
        <v>12</v>
      </c>
      <c r="C120" s="12" t="s">
        <v>16</v>
      </c>
      <c r="D120" s="10">
        <v>40.743665399999998</v>
      </c>
      <c r="E120" s="12">
        <v>29</v>
      </c>
      <c r="F120" s="15">
        <v>926.57037700000001</v>
      </c>
      <c r="G120" s="13">
        <v>4.9400000000000004</v>
      </c>
      <c r="H120" s="14">
        <v>0</v>
      </c>
      <c r="I120" s="14">
        <v>5.23</v>
      </c>
      <c r="J120" s="15">
        <v>11</v>
      </c>
      <c r="K120" s="1">
        <v>5</v>
      </c>
    </row>
    <row r="121" spans="1:11" x14ac:dyDescent="0.2">
      <c r="A121" s="40">
        <v>119</v>
      </c>
      <c r="B121" s="12" t="s">
        <v>12</v>
      </c>
      <c r="C121" s="12" t="s">
        <v>16</v>
      </c>
      <c r="D121" s="10">
        <v>30.557749099999999</v>
      </c>
      <c r="E121" s="12">
        <v>29</v>
      </c>
      <c r="F121" s="15">
        <v>631.971361</v>
      </c>
      <c r="G121" s="13">
        <v>4.9400000000000004</v>
      </c>
      <c r="H121" s="14">
        <v>0</v>
      </c>
      <c r="I121" s="14">
        <v>5.23</v>
      </c>
      <c r="J121" s="15">
        <v>11</v>
      </c>
      <c r="K121" s="1">
        <v>5</v>
      </c>
    </row>
    <row r="122" spans="1:11" x14ac:dyDescent="0.2">
      <c r="A122" s="40">
        <v>120</v>
      </c>
      <c r="B122" s="12" t="s">
        <v>12</v>
      </c>
      <c r="C122" s="12" t="s">
        <v>16</v>
      </c>
      <c r="D122" s="10">
        <v>38.515496200000001</v>
      </c>
      <c r="E122" s="12">
        <v>27</v>
      </c>
      <c r="F122" s="15">
        <v>775.38206300000002</v>
      </c>
      <c r="G122" s="13">
        <v>4.9400000000000004</v>
      </c>
      <c r="H122" s="14">
        <v>0</v>
      </c>
      <c r="I122" s="14">
        <v>5.23</v>
      </c>
      <c r="J122" s="15">
        <v>11</v>
      </c>
      <c r="K122" s="1">
        <v>5</v>
      </c>
    </row>
    <row r="123" spans="1:11" x14ac:dyDescent="0.2">
      <c r="A123" s="57">
        <v>121</v>
      </c>
      <c r="B123" s="12" t="s">
        <v>12</v>
      </c>
      <c r="C123" s="12" t="s">
        <v>16</v>
      </c>
      <c r="D123" s="10">
        <v>28.966199599999999</v>
      </c>
      <c r="E123" s="12">
        <v>30</v>
      </c>
      <c r="F123" s="15">
        <v>618.143371</v>
      </c>
      <c r="G123" s="13">
        <v>4.9400000000000004</v>
      </c>
      <c r="H123" s="14">
        <v>0</v>
      </c>
      <c r="I123" s="14">
        <v>5.23</v>
      </c>
      <c r="J123" s="15">
        <v>11</v>
      </c>
      <c r="K123" s="1">
        <v>5</v>
      </c>
    </row>
    <row r="124" spans="1:11" x14ac:dyDescent="0.2">
      <c r="A124" s="40">
        <v>122</v>
      </c>
      <c r="B124" s="12" t="s">
        <v>12</v>
      </c>
      <c r="C124" s="12" t="s">
        <v>16</v>
      </c>
      <c r="D124" s="10">
        <v>41.0619753</v>
      </c>
      <c r="E124" s="12">
        <v>27</v>
      </c>
      <c r="F124" s="15">
        <v>844.30294200000003</v>
      </c>
      <c r="G124" s="13">
        <v>4.9400000000000004</v>
      </c>
      <c r="H124" s="14">
        <v>0</v>
      </c>
      <c r="I124" s="14">
        <v>5.23</v>
      </c>
      <c r="J124" s="15">
        <v>11</v>
      </c>
      <c r="K124" s="1">
        <v>5</v>
      </c>
    </row>
    <row r="125" spans="1:11" x14ac:dyDescent="0.2">
      <c r="A125" s="40">
        <v>123</v>
      </c>
      <c r="B125" s="12" t="s">
        <v>12</v>
      </c>
      <c r="C125" s="12" t="s">
        <v>16</v>
      </c>
      <c r="D125" s="10">
        <v>25.464790900000001</v>
      </c>
      <c r="E125" s="12">
        <v>32</v>
      </c>
      <c r="F125" s="15">
        <v>571.73895900000002</v>
      </c>
      <c r="G125" s="13">
        <v>4.9400000000000004</v>
      </c>
      <c r="H125" s="14">
        <v>0</v>
      </c>
      <c r="I125" s="14">
        <v>5.23</v>
      </c>
      <c r="J125" s="15">
        <v>11</v>
      </c>
      <c r="K125" s="1">
        <v>5</v>
      </c>
    </row>
    <row r="126" spans="1:11" x14ac:dyDescent="0.2">
      <c r="A126" s="40">
        <v>124</v>
      </c>
      <c r="B126" s="12" t="s">
        <v>19</v>
      </c>
      <c r="C126" s="12" t="s">
        <v>15</v>
      </c>
      <c r="D126" s="10">
        <v>2.8647889756541161</v>
      </c>
      <c r="E126" s="12">
        <v>2.6</v>
      </c>
      <c r="F126" s="27">
        <f>EXP(-3.1632)*D126^(2.1468)*E126^(0.6909)*EXP((1.005^2)/2)</f>
        <v>1.2988392241013555</v>
      </c>
      <c r="G126" s="13">
        <v>6.9</v>
      </c>
      <c r="H126" s="46">
        <v>0.56233514461880829</v>
      </c>
      <c r="I126" s="14">
        <v>5.14</v>
      </c>
      <c r="J126" s="15">
        <v>25</v>
      </c>
      <c r="K126" s="1">
        <v>6</v>
      </c>
    </row>
    <row r="127" spans="1:11" x14ac:dyDescent="0.2">
      <c r="A127" s="40">
        <v>125</v>
      </c>
      <c r="B127" s="12" t="s">
        <v>12</v>
      </c>
      <c r="C127" s="12" t="s">
        <v>15</v>
      </c>
      <c r="D127" s="10">
        <v>5.0929581789406511</v>
      </c>
      <c r="E127" s="12">
        <v>4.4000000000000004</v>
      </c>
      <c r="F127" s="27">
        <f>EXP(-2.9687)*D127^(1.3301)*E127^(1.446)*EXP((1.0278^2)/2)</f>
        <v>6.469518106120475</v>
      </c>
      <c r="G127" s="13">
        <v>6.9</v>
      </c>
      <c r="H127" s="46">
        <v>0.56233514461880829</v>
      </c>
      <c r="I127" s="14">
        <v>5.14</v>
      </c>
      <c r="J127" s="15">
        <v>25</v>
      </c>
      <c r="K127" s="1">
        <v>6</v>
      </c>
    </row>
    <row r="128" spans="1:11" x14ac:dyDescent="0.2">
      <c r="A128" s="40">
        <v>126</v>
      </c>
      <c r="B128" s="12" t="s">
        <v>19</v>
      </c>
      <c r="C128" s="12" t="s">
        <v>15</v>
      </c>
      <c r="D128" s="10">
        <v>2.228169203286535</v>
      </c>
      <c r="E128" s="12">
        <v>2.7</v>
      </c>
      <c r="F128" s="27">
        <f>EXP(-3.1632)*D128^(2.1468)*E128^(0.6909)*EXP((1.005^2)/2)</f>
        <v>0.77726334477152126</v>
      </c>
      <c r="G128" s="13">
        <v>6.9</v>
      </c>
      <c r="H128" s="46">
        <v>0.56233514461880829</v>
      </c>
      <c r="I128" s="14">
        <v>5.14</v>
      </c>
      <c r="J128" s="15">
        <v>25</v>
      </c>
      <c r="K128" s="1">
        <v>6</v>
      </c>
    </row>
    <row r="129" spans="1:11" x14ac:dyDescent="0.2">
      <c r="A129" s="40">
        <v>127</v>
      </c>
      <c r="B129" s="12" t="s">
        <v>12</v>
      </c>
      <c r="C129" s="12" t="s">
        <v>15</v>
      </c>
      <c r="D129" s="10">
        <v>5.5704230082163368</v>
      </c>
      <c r="E129" s="12">
        <v>3.9</v>
      </c>
      <c r="F129" s="27">
        <f>EXP(-2.9687)*D129^(1.3301)*E129^(1.446)*EXP((1.0278^2)/2)</f>
        <v>6.12186437389924</v>
      </c>
      <c r="G129" s="13">
        <v>6.9</v>
      </c>
      <c r="H129" s="46">
        <v>0.56233514461880829</v>
      </c>
      <c r="I129" s="14">
        <v>5.14</v>
      </c>
      <c r="J129" s="15">
        <v>25</v>
      </c>
      <c r="K129" s="1">
        <v>6</v>
      </c>
    </row>
    <row r="130" spans="1:11" x14ac:dyDescent="0.2">
      <c r="A130" s="40">
        <v>128</v>
      </c>
      <c r="B130" s="12" t="s">
        <v>12</v>
      </c>
      <c r="C130" s="12" t="s">
        <v>15</v>
      </c>
      <c r="D130" s="10">
        <v>6.0478878374920226</v>
      </c>
      <c r="E130" s="12">
        <v>4.5</v>
      </c>
      <c r="F130" s="27">
        <f>EXP(-2.9687)*D130^(1.3301)*E130^(1.446)*EXP((1.0278^2)/2)</f>
        <v>8.3995270505606996</v>
      </c>
      <c r="G130" s="13">
        <v>6.9</v>
      </c>
      <c r="H130" s="46">
        <v>0.56233514461880829</v>
      </c>
      <c r="I130" s="14">
        <v>5.14</v>
      </c>
      <c r="J130" s="15">
        <v>25</v>
      </c>
      <c r="K130" s="1">
        <v>6</v>
      </c>
    </row>
    <row r="131" spans="1:11" x14ac:dyDescent="0.2">
      <c r="A131" s="40">
        <v>129</v>
      </c>
      <c r="B131" s="12" t="s">
        <v>12</v>
      </c>
      <c r="C131" s="12" t="s">
        <v>15</v>
      </c>
      <c r="D131" s="10">
        <v>6.6845076098596046</v>
      </c>
      <c r="E131" s="12">
        <v>5.9</v>
      </c>
      <c r="F131" s="27">
        <f>EXP(-2.9687)*D131^(1.3301)*E131^(1.446)*EXP((1.0278^2)/2)</f>
        <v>14.196303199725998</v>
      </c>
      <c r="G131" s="13">
        <v>6.9</v>
      </c>
      <c r="H131" s="46">
        <v>0.56233514461880829</v>
      </c>
      <c r="I131" s="14">
        <v>5.14</v>
      </c>
      <c r="J131" s="15">
        <v>25</v>
      </c>
      <c r="K131" s="1">
        <v>6</v>
      </c>
    </row>
    <row r="132" spans="1:11" x14ac:dyDescent="0.2">
      <c r="A132" s="40">
        <v>130</v>
      </c>
      <c r="B132" s="12" t="s">
        <v>12</v>
      </c>
      <c r="C132" s="12" t="s">
        <v>15</v>
      </c>
      <c r="D132" s="10">
        <v>7.1619724391352904</v>
      </c>
      <c r="E132" s="12">
        <v>6.5</v>
      </c>
      <c r="F132" s="27">
        <f>EXP(-2.9687)*D132^(1.3301)*E132^(1.446)*EXP((1.0278^2)/2)</f>
        <v>17.899877323941457</v>
      </c>
      <c r="G132" s="13">
        <v>6.9</v>
      </c>
      <c r="H132" s="46">
        <v>0.56233514461880829</v>
      </c>
      <c r="I132" s="14">
        <v>5.14</v>
      </c>
      <c r="J132" s="15">
        <v>25</v>
      </c>
      <c r="K132" s="1">
        <v>6</v>
      </c>
    </row>
    <row r="133" spans="1:11" x14ac:dyDescent="0.2">
      <c r="A133" s="57">
        <v>131</v>
      </c>
      <c r="B133" s="12" t="s">
        <v>12</v>
      </c>
      <c r="C133" s="12" t="s">
        <v>15</v>
      </c>
      <c r="D133" s="10">
        <v>6.5253526667677093</v>
      </c>
      <c r="E133" s="12">
        <v>5.0999999999999996</v>
      </c>
      <c r="F133" s="27">
        <f>EXP(-2.9687)*D133^(1.3301)*E133^(1.446)*EXP((1.0278^2)/2)</f>
        <v>11.136524036300418</v>
      </c>
      <c r="G133" s="13">
        <v>6.9</v>
      </c>
      <c r="H133" s="46">
        <v>0.56233514461880829</v>
      </c>
      <c r="I133" s="14">
        <v>5.14</v>
      </c>
      <c r="J133" s="15">
        <v>25</v>
      </c>
      <c r="K133" s="1">
        <v>6</v>
      </c>
    </row>
    <row r="134" spans="1:11" x14ac:dyDescent="0.2">
      <c r="A134" s="40">
        <v>132</v>
      </c>
      <c r="B134" s="12" t="s">
        <v>19</v>
      </c>
      <c r="C134" s="12" t="s">
        <v>15</v>
      </c>
      <c r="D134" s="10">
        <v>2.0690142601946393</v>
      </c>
      <c r="E134" s="12">
        <v>2.4</v>
      </c>
      <c r="F134" s="27">
        <f>EXP(-3.1632)*D134^(2.1468)*E134^(0.6909)*EXP((1.005^2)/2)</f>
        <v>0.61112891313878248</v>
      </c>
      <c r="G134" s="13">
        <v>6.9</v>
      </c>
      <c r="H134" s="46">
        <v>0.56233514461880829</v>
      </c>
      <c r="I134" s="14">
        <v>5.14</v>
      </c>
      <c r="J134" s="15">
        <v>25</v>
      </c>
      <c r="K134" s="1">
        <v>6</v>
      </c>
    </row>
    <row r="135" spans="1:11" x14ac:dyDescent="0.2">
      <c r="A135" s="40">
        <v>133</v>
      </c>
      <c r="B135" s="12" t="s">
        <v>12</v>
      </c>
      <c r="C135" s="12" t="s">
        <v>15</v>
      </c>
      <c r="D135" s="10">
        <v>6.6845076098596046</v>
      </c>
      <c r="E135" s="12">
        <v>4.8</v>
      </c>
      <c r="F135" s="27">
        <f>EXP(-2.9687)*D135^(1.3301)*E135^(1.446)*EXP((1.0278^2)/2)</f>
        <v>10.534115763922278</v>
      </c>
      <c r="G135" s="13">
        <v>6.9</v>
      </c>
      <c r="H135" s="46">
        <v>0.56233514461880829</v>
      </c>
      <c r="I135" s="14">
        <v>5.14</v>
      </c>
      <c r="J135" s="15">
        <v>25</v>
      </c>
      <c r="K135" s="1">
        <v>6</v>
      </c>
    </row>
    <row r="136" spans="1:11" x14ac:dyDescent="0.2">
      <c r="A136" s="40">
        <v>134</v>
      </c>
      <c r="B136" s="12" t="s">
        <v>12</v>
      </c>
      <c r="C136" s="12" t="s">
        <v>15</v>
      </c>
      <c r="D136" s="10">
        <v>9.7084515286056163</v>
      </c>
      <c r="E136" s="12">
        <v>7.6</v>
      </c>
      <c r="F136" s="27">
        <f>EXP(-2.9687)*D136^(1.3301)*E136^(1.446)*EXP((1.0278^2)/2)</f>
        <v>33.6328015137858</v>
      </c>
      <c r="G136" s="13">
        <v>6.9</v>
      </c>
      <c r="H136" s="46">
        <v>0.56233514461880829</v>
      </c>
      <c r="I136" s="14">
        <v>5.14</v>
      </c>
      <c r="J136" s="15">
        <v>25</v>
      </c>
      <c r="K136" s="1">
        <v>6</v>
      </c>
    </row>
    <row r="137" spans="1:11" x14ac:dyDescent="0.2">
      <c r="A137" s="40">
        <v>135</v>
      </c>
      <c r="B137" s="12" t="s">
        <v>12</v>
      </c>
      <c r="C137" s="12" t="s">
        <v>15</v>
      </c>
      <c r="D137" s="10">
        <v>3.5014087480216975</v>
      </c>
      <c r="E137" s="12">
        <v>3.3</v>
      </c>
      <c r="F137" s="27">
        <f>EXP(-2.9687)*D137^(1.3301)*E137^(1.446)*EXP((1.0278^2)/2)</f>
        <v>2.592787600603462</v>
      </c>
      <c r="G137" s="13">
        <v>6.9</v>
      </c>
      <c r="H137" s="46">
        <v>0.56233514461880829</v>
      </c>
      <c r="I137" s="14">
        <v>5.14</v>
      </c>
      <c r="J137" s="15">
        <v>25</v>
      </c>
      <c r="K137" s="1">
        <v>6</v>
      </c>
    </row>
    <row r="138" spans="1:11" x14ac:dyDescent="0.2">
      <c r="A138" s="40">
        <v>136</v>
      </c>
      <c r="B138" s="12" t="s">
        <v>12</v>
      </c>
      <c r="C138" s="12" t="s">
        <v>15</v>
      </c>
      <c r="D138" s="10">
        <v>5.0929581789406511</v>
      </c>
      <c r="E138" s="12">
        <v>4.8</v>
      </c>
      <c r="F138" s="27">
        <f>EXP(-2.9687)*D138^(1.3301)*E138^(1.446)*EXP((1.0278^2)/2)</f>
        <v>7.3369268934280205</v>
      </c>
      <c r="G138" s="13">
        <v>6.9</v>
      </c>
      <c r="H138" s="46">
        <v>0.56233514461880829</v>
      </c>
      <c r="I138" s="14">
        <v>5.14</v>
      </c>
      <c r="J138" s="15">
        <v>25</v>
      </c>
      <c r="K138" s="1">
        <v>6</v>
      </c>
    </row>
    <row r="139" spans="1:11" x14ac:dyDescent="0.2">
      <c r="A139" s="40">
        <v>137</v>
      </c>
      <c r="B139" s="12" t="s">
        <v>12</v>
      </c>
      <c r="C139" s="12" t="s">
        <v>15</v>
      </c>
      <c r="D139" s="10">
        <v>3.0239439187460113</v>
      </c>
      <c r="E139" s="12">
        <v>2.8</v>
      </c>
      <c r="F139" s="27">
        <f>EXP(-2.9687)*D139^(1.3301)*E139^(1.446)*EXP((1.0278^2)/2)</f>
        <v>1.6822868657618255</v>
      </c>
      <c r="G139" s="13">
        <v>6.9</v>
      </c>
      <c r="H139" s="46">
        <v>0.56233514461880829</v>
      </c>
      <c r="I139" s="14">
        <v>5.14</v>
      </c>
      <c r="J139" s="15">
        <v>25</v>
      </c>
      <c r="K139" s="1">
        <v>6</v>
      </c>
    </row>
    <row r="140" spans="1:11" x14ac:dyDescent="0.2">
      <c r="A140" s="40">
        <v>138</v>
      </c>
      <c r="B140" s="12" t="s">
        <v>19</v>
      </c>
      <c r="C140" s="12" t="s">
        <v>15</v>
      </c>
      <c r="D140" s="10">
        <v>46.632398325925337</v>
      </c>
      <c r="E140" s="12">
        <v>24.2</v>
      </c>
      <c r="F140" s="27">
        <f>EXP(-3.1632)*D140^(2.1468)*E140^(0.6909)*EXP((1.005^2)/2)</f>
        <v>2420.9216775210552</v>
      </c>
      <c r="G140" s="13">
        <v>6.9</v>
      </c>
      <c r="H140" s="46">
        <v>0.56233514461880829</v>
      </c>
      <c r="I140" s="14">
        <v>5.14</v>
      </c>
      <c r="J140" s="15">
        <v>25</v>
      </c>
      <c r="K140" s="1">
        <v>6</v>
      </c>
    </row>
    <row r="141" spans="1:11" x14ac:dyDescent="0.2">
      <c r="A141" s="40">
        <v>139</v>
      </c>
      <c r="B141" s="12" t="s">
        <v>12</v>
      </c>
      <c r="C141" s="12" t="s">
        <v>15</v>
      </c>
      <c r="D141" s="10">
        <v>63.343667350574343</v>
      </c>
      <c r="E141" s="12">
        <v>30.4</v>
      </c>
      <c r="F141" s="27">
        <f>EXP(-2.9687)*D141^(1.3301)*E141^(1.446)*EXP((1.0278^2)/2)</f>
        <v>3025.3738752805766</v>
      </c>
      <c r="G141" s="13">
        <v>6.9</v>
      </c>
      <c r="H141" s="46">
        <v>0.56233514461880829</v>
      </c>
      <c r="I141" s="14">
        <v>5.14</v>
      </c>
      <c r="J141" s="15">
        <v>25</v>
      </c>
      <c r="K141" s="1">
        <v>6</v>
      </c>
    </row>
    <row r="142" spans="1:11" x14ac:dyDescent="0.2">
      <c r="A142" s="40">
        <v>140</v>
      </c>
      <c r="B142" s="12" t="s">
        <v>25</v>
      </c>
      <c r="C142" s="12" t="s">
        <v>16</v>
      </c>
      <c r="D142" s="10">
        <v>6.366197723675814</v>
      </c>
      <c r="E142" s="12">
        <v>6.2</v>
      </c>
      <c r="F142" s="27">
        <f>0.1236*D142^2.3929</f>
        <v>10.366286725579199</v>
      </c>
      <c r="G142" s="13">
        <v>4.46</v>
      </c>
      <c r="H142" s="46">
        <v>0.95027053923323468</v>
      </c>
      <c r="I142" s="14">
        <v>5.22</v>
      </c>
      <c r="J142" s="15">
        <v>8</v>
      </c>
      <c r="K142" s="1">
        <v>6</v>
      </c>
    </row>
    <row r="143" spans="1:11" x14ac:dyDescent="0.2">
      <c r="A143" s="57">
        <v>141</v>
      </c>
      <c r="B143" s="12" t="s">
        <v>12</v>
      </c>
      <c r="C143" s="12" t="s">
        <v>16</v>
      </c>
      <c r="D143" s="10">
        <v>38.515496228238675</v>
      </c>
      <c r="E143" s="12">
        <v>26.6</v>
      </c>
      <c r="F143" s="27">
        <f>EXP(-2.9687)*D143^(1.3301)*E143^(1.446)*EXP((1.0278^2)/2)</f>
        <v>1286.8592278694641</v>
      </c>
      <c r="G143" s="13">
        <v>4.46</v>
      </c>
      <c r="H143" s="46">
        <v>0.95027053923323468</v>
      </c>
      <c r="I143" s="14">
        <v>5.22</v>
      </c>
      <c r="J143" s="15">
        <v>8</v>
      </c>
      <c r="K143" s="1">
        <v>6</v>
      </c>
    </row>
    <row r="144" spans="1:11" x14ac:dyDescent="0.2">
      <c r="A144" s="40">
        <v>142</v>
      </c>
      <c r="B144" s="12" t="s">
        <v>12</v>
      </c>
      <c r="C144" s="12" t="s">
        <v>16</v>
      </c>
      <c r="D144" s="10">
        <v>27.215495268714104</v>
      </c>
      <c r="E144" s="12">
        <v>23.7</v>
      </c>
      <c r="F144" s="27">
        <f>EXP(-2.9687)*D144^(1.3301)*E144^(1.446)*EXP((1.0278^2)/2)</f>
        <v>686.17297774330245</v>
      </c>
      <c r="G144" s="13">
        <v>4.46</v>
      </c>
      <c r="H144" s="46">
        <v>0.95027053923323468</v>
      </c>
      <c r="I144" s="14">
        <v>5.22</v>
      </c>
      <c r="J144" s="15">
        <v>8</v>
      </c>
      <c r="K144" s="1">
        <v>6</v>
      </c>
    </row>
    <row r="145" spans="1:11" x14ac:dyDescent="0.2">
      <c r="A145" s="40">
        <v>143</v>
      </c>
      <c r="B145" s="12" t="s">
        <v>24</v>
      </c>
      <c r="C145" s="12" t="s">
        <v>16</v>
      </c>
      <c r="D145" s="10">
        <v>4.45633840657307</v>
      </c>
      <c r="E145" s="12">
        <v>2.8</v>
      </c>
      <c r="F145" s="27">
        <f>EXP(-3.1632)*D145^(2.1468)*E145^(0.6909)*EXP((1.005^2)/2)</f>
        <v>3.5296499848900815</v>
      </c>
      <c r="G145" s="13">
        <v>4.46</v>
      </c>
      <c r="H145" s="46">
        <v>0.95027053923323468</v>
      </c>
      <c r="I145" s="14">
        <v>5.22</v>
      </c>
      <c r="J145" s="15">
        <v>8</v>
      </c>
      <c r="K145" s="1">
        <v>6</v>
      </c>
    </row>
    <row r="146" spans="1:11" x14ac:dyDescent="0.2">
      <c r="A146" s="40">
        <v>144</v>
      </c>
      <c r="B146" s="12" t="s">
        <v>12</v>
      </c>
      <c r="C146" s="12" t="s">
        <v>16</v>
      </c>
      <c r="D146" s="10">
        <v>32.467608390746648</v>
      </c>
      <c r="E146" s="12">
        <v>26.9</v>
      </c>
      <c r="F146" s="27">
        <f>EXP(-2.9687)*D146^(1.3301)*E146^(1.446)*EXP((1.0278^2)/2)</f>
        <v>1042.0780757155007</v>
      </c>
      <c r="G146" s="13">
        <v>4.46</v>
      </c>
      <c r="H146" s="46">
        <v>0.95027053923323468</v>
      </c>
      <c r="I146" s="14">
        <v>5.22</v>
      </c>
      <c r="J146" s="15">
        <v>8</v>
      </c>
      <c r="K146" s="1">
        <v>6</v>
      </c>
    </row>
    <row r="147" spans="1:11" x14ac:dyDescent="0.2">
      <c r="A147" s="40">
        <v>145</v>
      </c>
      <c r="B147" s="28" t="s">
        <v>19</v>
      </c>
      <c r="C147" s="28" t="s">
        <v>15</v>
      </c>
      <c r="D147" s="29">
        <v>9.5</v>
      </c>
      <c r="E147" s="30">
        <v>8</v>
      </c>
      <c r="F147" s="31">
        <v>22.71</v>
      </c>
      <c r="G147" s="47">
        <v>3.55</v>
      </c>
      <c r="H147" s="48">
        <v>1.1622255450000001</v>
      </c>
      <c r="I147" s="49">
        <v>5.3</v>
      </c>
      <c r="J147" s="50">
        <v>26</v>
      </c>
      <c r="K147" s="1">
        <v>7</v>
      </c>
    </row>
    <row r="148" spans="1:11" x14ac:dyDescent="0.2">
      <c r="A148" s="40">
        <v>146</v>
      </c>
      <c r="B148" s="28" t="s">
        <v>26</v>
      </c>
      <c r="C148" s="28" t="s">
        <v>15</v>
      </c>
      <c r="D148" s="29">
        <v>66.8</v>
      </c>
      <c r="E148" s="30">
        <v>29</v>
      </c>
      <c r="F148" s="31">
        <v>3604.42</v>
      </c>
      <c r="G148" s="47">
        <v>3.55</v>
      </c>
      <c r="H148" s="48">
        <v>1.1622255450000001</v>
      </c>
      <c r="I148" s="49">
        <v>5.3</v>
      </c>
      <c r="J148" s="50">
        <v>26</v>
      </c>
      <c r="K148" s="1">
        <v>7</v>
      </c>
    </row>
    <row r="149" spans="1:11" x14ac:dyDescent="0.2">
      <c r="A149" s="40">
        <v>147</v>
      </c>
      <c r="B149" s="28" t="s">
        <v>19</v>
      </c>
      <c r="C149" s="28" t="s">
        <v>15</v>
      </c>
      <c r="D149" s="29">
        <v>1</v>
      </c>
      <c r="E149" s="30">
        <v>2</v>
      </c>
      <c r="F149" s="31">
        <v>0.06</v>
      </c>
      <c r="G149" s="47">
        <v>3.55</v>
      </c>
      <c r="H149" s="48">
        <v>1.1622255450000001</v>
      </c>
      <c r="I149" s="49">
        <v>5.3</v>
      </c>
      <c r="J149" s="50">
        <v>26</v>
      </c>
      <c r="K149" s="1">
        <v>7</v>
      </c>
    </row>
    <row r="150" spans="1:11" x14ac:dyDescent="0.2">
      <c r="A150" s="40">
        <v>148</v>
      </c>
      <c r="B150" s="28" t="s">
        <v>19</v>
      </c>
      <c r="C150" s="28" t="s">
        <v>15</v>
      </c>
      <c r="D150" s="30">
        <v>13.4</v>
      </c>
      <c r="E150" s="30">
        <v>13</v>
      </c>
      <c r="F150" s="31">
        <v>65.39</v>
      </c>
      <c r="G150" s="47">
        <v>3.55</v>
      </c>
      <c r="H150" s="48">
        <v>1.1622255450000001</v>
      </c>
      <c r="I150" s="49">
        <v>5.3</v>
      </c>
      <c r="J150" s="50">
        <v>26</v>
      </c>
      <c r="K150" s="1">
        <v>7</v>
      </c>
    </row>
    <row r="151" spans="1:11" x14ac:dyDescent="0.2">
      <c r="A151" s="40">
        <v>149</v>
      </c>
      <c r="B151" s="28" t="s">
        <v>13</v>
      </c>
      <c r="C151" s="28" t="s">
        <v>15</v>
      </c>
      <c r="D151" s="30">
        <v>21</v>
      </c>
      <c r="E151" s="30">
        <v>8</v>
      </c>
      <c r="F151" s="31">
        <v>61.29</v>
      </c>
      <c r="G151" s="47">
        <v>3.55</v>
      </c>
      <c r="H151" s="48">
        <v>1.1622255450000001</v>
      </c>
      <c r="I151" s="49">
        <v>5.3</v>
      </c>
      <c r="J151" s="50">
        <v>26</v>
      </c>
      <c r="K151" s="1">
        <v>7</v>
      </c>
    </row>
    <row r="152" spans="1:11" x14ac:dyDescent="0.2">
      <c r="A152" s="40">
        <v>150</v>
      </c>
      <c r="B152" s="28" t="s">
        <v>19</v>
      </c>
      <c r="C152" s="28" t="s">
        <v>15</v>
      </c>
      <c r="D152" s="30">
        <v>25.5</v>
      </c>
      <c r="E152" s="30">
        <v>20</v>
      </c>
      <c r="F152" s="31">
        <v>351.2</v>
      </c>
      <c r="G152" s="47">
        <v>3.55</v>
      </c>
      <c r="H152" s="48">
        <v>1.1622255450000001</v>
      </c>
      <c r="I152" s="49">
        <v>5.3</v>
      </c>
      <c r="J152" s="50">
        <v>26</v>
      </c>
      <c r="K152" s="1">
        <v>7</v>
      </c>
    </row>
    <row r="153" spans="1:11" x14ac:dyDescent="0.2">
      <c r="A153" s="57">
        <v>151</v>
      </c>
      <c r="B153" s="28" t="s">
        <v>12</v>
      </c>
      <c r="C153" s="28" t="s">
        <v>15</v>
      </c>
      <c r="D153" s="30">
        <v>8.6</v>
      </c>
      <c r="E153" s="30">
        <v>4.5</v>
      </c>
      <c r="F153" s="31">
        <v>8.1199999999999992</v>
      </c>
      <c r="G153" s="47">
        <v>3.55</v>
      </c>
      <c r="H153" s="48">
        <v>1.1622255450000001</v>
      </c>
      <c r="I153" s="49">
        <v>5.3</v>
      </c>
      <c r="J153" s="50">
        <v>26</v>
      </c>
      <c r="K153" s="1">
        <v>7</v>
      </c>
    </row>
    <row r="154" spans="1:11" x14ac:dyDescent="0.2">
      <c r="A154" s="40">
        <v>152</v>
      </c>
      <c r="B154" s="28" t="s">
        <v>12</v>
      </c>
      <c r="C154" s="28" t="s">
        <v>15</v>
      </c>
      <c r="D154" s="30">
        <v>17.2</v>
      </c>
      <c r="E154" s="30">
        <v>20</v>
      </c>
      <c r="F154" s="31">
        <v>176.57</v>
      </c>
      <c r="G154" s="47">
        <v>3.55</v>
      </c>
      <c r="H154" s="48">
        <v>1.1622255450000001</v>
      </c>
      <c r="I154" s="49">
        <v>5.3</v>
      </c>
      <c r="J154" s="50">
        <v>26</v>
      </c>
      <c r="K154" s="1">
        <v>7</v>
      </c>
    </row>
    <row r="155" spans="1:11" x14ac:dyDescent="0.2">
      <c r="A155" s="40">
        <v>153</v>
      </c>
      <c r="B155" s="28" t="s">
        <v>27</v>
      </c>
      <c r="C155" s="28" t="s">
        <v>15</v>
      </c>
      <c r="D155" s="30">
        <v>9.1999999999999993</v>
      </c>
      <c r="E155" s="30">
        <v>4.5</v>
      </c>
      <c r="F155" s="31">
        <v>8.93</v>
      </c>
      <c r="G155" s="47">
        <v>3.55</v>
      </c>
      <c r="H155" s="48">
        <v>1.1622255450000001</v>
      </c>
      <c r="I155" s="49">
        <v>5.3</v>
      </c>
      <c r="J155" s="50">
        <v>26</v>
      </c>
      <c r="K155" s="1">
        <v>7</v>
      </c>
    </row>
    <row r="156" spans="1:11" x14ac:dyDescent="0.2">
      <c r="A156" s="40">
        <v>154</v>
      </c>
      <c r="B156" s="28" t="s">
        <v>27</v>
      </c>
      <c r="C156" s="28" t="s">
        <v>15</v>
      </c>
      <c r="D156" s="30">
        <v>9.5</v>
      </c>
      <c r="E156" s="30">
        <v>10</v>
      </c>
      <c r="F156" s="31">
        <v>29.65</v>
      </c>
      <c r="G156" s="47">
        <v>3.55</v>
      </c>
      <c r="H156" s="48">
        <v>1.1622255450000001</v>
      </c>
      <c r="I156" s="49">
        <v>5.3</v>
      </c>
      <c r="J156" s="50">
        <v>26</v>
      </c>
      <c r="K156" s="1">
        <v>7</v>
      </c>
    </row>
    <row r="157" spans="1:11" x14ac:dyDescent="0.2">
      <c r="A157" s="40">
        <v>155</v>
      </c>
      <c r="B157" s="28" t="s">
        <v>12</v>
      </c>
      <c r="C157" s="28" t="s">
        <v>15</v>
      </c>
      <c r="D157" s="30">
        <v>17.5</v>
      </c>
      <c r="E157" s="30">
        <v>21</v>
      </c>
      <c r="F157" s="31">
        <v>194.15</v>
      </c>
      <c r="G157" s="47">
        <v>3.55</v>
      </c>
      <c r="H157" s="48">
        <v>1.1622255450000001</v>
      </c>
      <c r="I157" s="49">
        <v>5.3</v>
      </c>
      <c r="J157" s="50">
        <v>26</v>
      </c>
      <c r="K157" s="1">
        <v>7</v>
      </c>
    </row>
    <row r="158" spans="1:11" x14ac:dyDescent="0.2">
      <c r="A158" s="40">
        <v>156</v>
      </c>
      <c r="B158" s="28" t="s">
        <v>12</v>
      </c>
      <c r="C158" s="28" t="s">
        <v>16</v>
      </c>
      <c r="D158" s="30">
        <v>35.700000000000003</v>
      </c>
      <c r="E158" s="30">
        <v>26</v>
      </c>
      <c r="F158" s="31">
        <v>680.89</v>
      </c>
      <c r="G158" s="47">
        <v>6.78</v>
      </c>
      <c r="H158" s="48">
        <v>0.75954739100000002</v>
      </c>
      <c r="I158" s="49">
        <v>4.8600000000000003</v>
      </c>
      <c r="J158" s="51">
        <v>16</v>
      </c>
      <c r="K158" s="1">
        <v>7</v>
      </c>
    </row>
    <row r="159" spans="1:11" x14ac:dyDescent="0.2">
      <c r="A159" s="40">
        <v>157</v>
      </c>
      <c r="B159" s="28" t="s">
        <v>12</v>
      </c>
      <c r="C159" s="28" t="s">
        <v>16</v>
      </c>
      <c r="D159" s="30">
        <v>26.4</v>
      </c>
      <c r="E159" s="30">
        <v>27</v>
      </c>
      <c r="F159" s="31">
        <v>482.7</v>
      </c>
      <c r="G159" s="47">
        <v>6.78</v>
      </c>
      <c r="H159" s="48">
        <v>0.75954739100000002</v>
      </c>
      <c r="I159" s="49">
        <v>4.8600000000000003</v>
      </c>
      <c r="J159" s="51">
        <v>16</v>
      </c>
      <c r="K159" s="1">
        <v>7</v>
      </c>
    </row>
    <row r="160" spans="1:11" x14ac:dyDescent="0.2">
      <c r="A160" s="40">
        <v>158</v>
      </c>
      <c r="B160" s="28" t="s">
        <v>12</v>
      </c>
      <c r="C160" s="28" t="s">
        <v>16</v>
      </c>
      <c r="D160" s="30">
        <v>35.299999999999997</v>
      </c>
      <c r="E160" s="30">
        <v>26</v>
      </c>
      <c r="F160" s="31">
        <v>672.81</v>
      </c>
      <c r="G160" s="47">
        <v>6.78</v>
      </c>
      <c r="H160" s="48">
        <v>0.75954739100000002</v>
      </c>
      <c r="I160" s="49">
        <v>4.8600000000000003</v>
      </c>
      <c r="J160" s="51">
        <v>16</v>
      </c>
      <c r="K160" s="1">
        <v>7</v>
      </c>
    </row>
    <row r="161" spans="1:11" x14ac:dyDescent="0.2">
      <c r="A161" s="40">
        <v>159</v>
      </c>
      <c r="B161" s="28" t="s">
        <v>19</v>
      </c>
      <c r="C161" s="28" t="s">
        <v>16</v>
      </c>
      <c r="D161" s="30">
        <v>1</v>
      </c>
      <c r="E161" s="30">
        <v>1.4</v>
      </c>
      <c r="F161" s="31">
        <v>0.05</v>
      </c>
      <c r="G161" s="47">
        <v>6.78</v>
      </c>
      <c r="H161" s="48">
        <v>0.75954739100000002</v>
      </c>
      <c r="I161" s="49">
        <v>4.8600000000000003</v>
      </c>
      <c r="J161" s="51">
        <v>16</v>
      </c>
      <c r="K161" s="1">
        <v>7</v>
      </c>
    </row>
    <row r="162" spans="1:11" x14ac:dyDescent="0.2">
      <c r="A162" s="40">
        <v>160</v>
      </c>
      <c r="B162" s="28" t="s">
        <v>12</v>
      </c>
      <c r="C162" s="28" t="s">
        <v>16</v>
      </c>
      <c r="D162" s="30">
        <v>23.6</v>
      </c>
      <c r="E162" s="30">
        <v>30</v>
      </c>
      <c r="F162" s="31">
        <v>482.55</v>
      </c>
      <c r="G162" s="47">
        <v>6.78</v>
      </c>
      <c r="H162" s="48">
        <v>0.75954739100000002</v>
      </c>
      <c r="I162" s="49">
        <v>4.8600000000000003</v>
      </c>
      <c r="J162" s="51">
        <v>16</v>
      </c>
      <c r="K162" s="1">
        <v>7</v>
      </c>
    </row>
    <row r="163" spans="1:11" x14ac:dyDescent="0.2">
      <c r="A163" s="57">
        <v>161</v>
      </c>
      <c r="B163" s="28" t="s">
        <v>12</v>
      </c>
      <c r="C163" s="28" t="s">
        <v>16</v>
      </c>
      <c r="D163" s="30">
        <v>27.4</v>
      </c>
      <c r="E163" s="30">
        <v>34</v>
      </c>
      <c r="F163" s="31">
        <v>706.24</v>
      </c>
      <c r="G163" s="47">
        <v>6.78</v>
      </c>
      <c r="H163" s="48">
        <v>0.75954739100000002</v>
      </c>
      <c r="I163" s="49">
        <v>4.8600000000000003</v>
      </c>
      <c r="J163" s="51">
        <v>16</v>
      </c>
      <c r="K163" s="1">
        <v>7</v>
      </c>
    </row>
    <row r="164" spans="1:11" x14ac:dyDescent="0.2">
      <c r="A164" s="40">
        <v>162</v>
      </c>
      <c r="B164" s="28" t="s">
        <v>12</v>
      </c>
      <c r="C164" s="28" t="s">
        <v>16</v>
      </c>
      <c r="D164" s="30">
        <v>39.200000000000003</v>
      </c>
      <c r="E164" s="30">
        <v>37</v>
      </c>
      <c r="F164" s="31">
        <v>1284.58</v>
      </c>
      <c r="G164" s="47">
        <v>6.78</v>
      </c>
      <c r="H164" s="48">
        <v>0.75954739100000002</v>
      </c>
      <c r="I164" s="49">
        <v>4.8600000000000003</v>
      </c>
      <c r="J164" s="51">
        <v>16</v>
      </c>
      <c r="K164" s="1">
        <v>7</v>
      </c>
    </row>
    <row r="165" spans="1:11" x14ac:dyDescent="0.2">
      <c r="A165" s="40">
        <v>163</v>
      </c>
      <c r="B165" s="28" t="s">
        <v>28</v>
      </c>
      <c r="C165" s="28" t="s">
        <v>16</v>
      </c>
      <c r="D165" s="30">
        <v>2.9</v>
      </c>
      <c r="E165" s="30">
        <v>3</v>
      </c>
      <c r="F165" s="31">
        <v>0.87</v>
      </c>
      <c r="G165" s="47">
        <v>6.78</v>
      </c>
      <c r="H165" s="48">
        <v>0.75954739100000002</v>
      </c>
      <c r="I165" s="49">
        <v>4.8600000000000003</v>
      </c>
      <c r="J165" s="51">
        <v>16</v>
      </c>
      <c r="K165" s="1">
        <v>7</v>
      </c>
    </row>
    <row r="166" spans="1:11" x14ac:dyDescent="0.2">
      <c r="A166" s="40">
        <v>164</v>
      </c>
      <c r="B166" s="28" t="s">
        <v>12</v>
      </c>
      <c r="C166" s="28" t="s">
        <v>16</v>
      </c>
      <c r="D166" s="30">
        <v>27.1</v>
      </c>
      <c r="E166" s="30">
        <v>40</v>
      </c>
      <c r="F166" s="31">
        <v>879.55</v>
      </c>
      <c r="G166" s="47">
        <v>6.78</v>
      </c>
      <c r="H166" s="48">
        <v>0.75954739100000002</v>
      </c>
      <c r="I166" s="49">
        <v>4.8600000000000003</v>
      </c>
      <c r="J166" s="51">
        <v>16</v>
      </c>
      <c r="K166" s="1">
        <v>7</v>
      </c>
    </row>
    <row r="167" spans="1:11" x14ac:dyDescent="0.2">
      <c r="A167" s="40">
        <v>165</v>
      </c>
      <c r="B167" s="28" t="s">
        <v>28</v>
      </c>
      <c r="C167" s="28" t="s">
        <v>16</v>
      </c>
      <c r="D167" s="30">
        <v>2.9</v>
      </c>
      <c r="E167" s="30">
        <v>2.5</v>
      </c>
      <c r="F167" s="31">
        <v>0.77</v>
      </c>
      <c r="G167" s="47">
        <v>6.78</v>
      </c>
      <c r="H167" s="48">
        <v>0.75954739100000002</v>
      </c>
      <c r="I167" s="49">
        <v>4.8600000000000003</v>
      </c>
      <c r="J167" s="51">
        <v>16</v>
      </c>
      <c r="K167" s="1">
        <v>7</v>
      </c>
    </row>
    <row r="168" spans="1:11" x14ac:dyDescent="0.2">
      <c r="A168" s="40">
        <v>166</v>
      </c>
      <c r="B168" s="28" t="s">
        <v>12</v>
      </c>
      <c r="C168" s="28" t="s">
        <v>16</v>
      </c>
      <c r="D168" s="30">
        <v>26.1</v>
      </c>
      <c r="E168" s="30">
        <v>31</v>
      </c>
      <c r="F168" s="31">
        <v>580.01</v>
      </c>
      <c r="G168" s="47">
        <v>6.78</v>
      </c>
      <c r="H168" s="48">
        <v>0.75954739100000002</v>
      </c>
      <c r="I168" s="49">
        <v>4.8600000000000003</v>
      </c>
      <c r="J168" s="51">
        <v>16</v>
      </c>
      <c r="K168" s="1">
        <v>7</v>
      </c>
    </row>
    <row r="169" spans="1:11" x14ac:dyDescent="0.2">
      <c r="A169" s="40">
        <v>167</v>
      </c>
      <c r="B169" s="17" t="s">
        <v>29</v>
      </c>
      <c r="C169" s="17" t="s">
        <v>15</v>
      </c>
      <c r="D169" s="18">
        <v>37.242256683503513</v>
      </c>
      <c r="E169" s="19">
        <v>15</v>
      </c>
      <c r="F169" s="32"/>
      <c r="G169" s="13"/>
      <c r="H169" s="52"/>
      <c r="I169" s="14"/>
      <c r="J169" s="15"/>
      <c r="K169" s="1">
        <v>8</v>
      </c>
    </row>
    <row r="170" spans="1:11" x14ac:dyDescent="0.2">
      <c r="A170" s="40">
        <v>168</v>
      </c>
      <c r="B170" s="17" t="s">
        <v>13</v>
      </c>
      <c r="C170" s="17" t="s">
        <v>15</v>
      </c>
      <c r="D170" s="18">
        <v>4.7746482927568605</v>
      </c>
      <c r="E170" s="19">
        <v>3.6</v>
      </c>
      <c r="F170" s="33">
        <v>2.281524743122616</v>
      </c>
      <c r="G170" s="53">
        <v>5.58</v>
      </c>
      <c r="H170" s="48">
        <v>0.7595473914748635</v>
      </c>
      <c r="I170" s="14">
        <v>4.71</v>
      </c>
      <c r="J170" s="15">
        <v>22</v>
      </c>
      <c r="K170" s="1">
        <v>8</v>
      </c>
    </row>
    <row r="171" spans="1:11" x14ac:dyDescent="0.2">
      <c r="A171" s="40">
        <v>169</v>
      </c>
      <c r="B171" s="17" t="s">
        <v>13</v>
      </c>
      <c r="C171" s="17" t="s">
        <v>15</v>
      </c>
      <c r="D171" s="18">
        <v>3.5014087480216975</v>
      </c>
      <c r="E171" s="19">
        <v>2.4</v>
      </c>
      <c r="F171" s="33">
        <v>0.83835604073088221</v>
      </c>
      <c r="G171" s="53">
        <v>5.58</v>
      </c>
      <c r="H171" s="48">
        <v>0.7595473914748635</v>
      </c>
      <c r="I171" s="14">
        <v>4.71</v>
      </c>
      <c r="J171" s="15">
        <v>22</v>
      </c>
      <c r="K171" s="1">
        <v>8</v>
      </c>
    </row>
    <row r="172" spans="1:11" x14ac:dyDescent="0.2">
      <c r="A172" s="40">
        <v>170</v>
      </c>
      <c r="B172" s="17" t="s">
        <v>13</v>
      </c>
      <c r="C172" s="17" t="s">
        <v>15</v>
      </c>
      <c r="D172" s="18">
        <v>2.5464790894703255</v>
      </c>
      <c r="E172" s="19">
        <v>1.65</v>
      </c>
      <c r="F172" s="33">
        <v>0.31234876188454552</v>
      </c>
      <c r="G172" s="53">
        <v>5.58</v>
      </c>
      <c r="H172" s="48">
        <v>0.7595473914748635</v>
      </c>
      <c r="I172" s="14">
        <v>4.71</v>
      </c>
      <c r="J172" s="15">
        <v>22</v>
      </c>
      <c r="K172" s="1">
        <v>8</v>
      </c>
    </row>
    <row r="173" spans="1:11" x14ac:dyDescent="0.2">
      <c r="A173" s="57">
        <v>171</v>
      </c>
      <c r="B173" s="17" t="s">
        <v>19</v>
      </c>
      <c r="C173" s="17" t="s">
        <v>15</v>
      </c>
      <c r="D173" s="18">
        <v>52.521131220325465</v>
      </c>
      <c r="E173" s="19">
        <v>25</v>
      </c>
      <c r="F173" s="33">
        <v>2440.367303250518</v>
      </c>
      <c r="G173" s="53">
        <v>5.58</v>
      </c>
      <c r="H173" s="48">
        <v>0.7595473914748635</v>
      </c>
      <c r="I173" s="14">
        <v>4.71</v>
      </c>
      <c r="J173" s="15">
        <v>22</v>
      </c>
      <c r="K173" s="1">
        <v>8</v>
      </c>
    </row>
    <row r="174" spans="1:11" x14ac:dyDescent="0.2">
      <c r="A174" s="40">
        <v>172</v>
      </c>
      <c r="B174" s="17" t="s">
        <v>13</v>
      </c>
      <c r="C174" s="17" t="s">
        <v>15</v>
      </c>
      <c r="D174" s="18">
        <v>1.909859317102744</v>
      </c>
      <c r="E174" s="19">
        <v>1.8</v>
      </c>
      <c r="F174" s="33">
        <v>0.19392821960810472</v>
      </c>
      <c r="G174" s="53">
        <v>5.58</v>
      </c>
      <c r="H174" s="48">
        <v>0.7595473914748635</v>
      </c>
      <c r="I174" s="14">
        <v>4.71</v>
      </c>
      <c r="J174" s="15">
        <v>22</v>
      </c>
      <c r="K174" s="1">
        <v>8</v>
      </c>
    </row>
    <row r="175" spans="1:11" x14ac:dyDescent="0.2">
      <c r="A175" s="40">
        <v>173</v>
      </c>
      <c r="B175" s="17" t="s">
        <v>13</v>
      </c>
      <c r="C175" s="17" t="s">
        <v>15</v>
      </c>
      <c r="D175" s="18">
        <v>4.45633840657307</v>
      </c>
      <c r="E175" s="19">
        <v>4</v>
      </c>
      <c r="F175" s="33">
        <v>2.2100203962905973</v>
      </c>
      <c r="G175" s="53">
        <v>5.58</v>
      </c>
      <c r="H175" s="48">
        <v>0.7595473914748635</v>
      </c>
      <c r="I175" s="14">
        <v>4.71</v>
      </c>
      <c r="J175" s="15">
        <v>22</v>
      </c>
      <c r="K175" s="1">
        <v>8</v>
      </c>
    </row>
    <row r="176" spans="1:11" x14ac:dyDescent="0.2">
      <c r="A176" s="40">
        <v>174</v>
      </c>
      <c r="B176" s="17" t="s">
        <v>12</v>
      </c>
      <c r="C176" s="17" t="s">
        <v>15</v>
      </c>
      <c r="D176" s="18">
        <v>0.95492965855137202</v>
      </c>
      <c r="E176" s="19">
        <v>1.6</v>
      </c>
      <c r="F176" s="33">
        <v>4.2740086434559316E-2</v>
      </c>
      <c r="G176" s="53">
        <v>5.58</v>
      </c>
      <c r="H176" s="48">
        <v>0.7595473914748635</v>
      </c>
      <c r="I176" s="14">
        <v>4.71</v>
      </c>
      <c r="J176" s="15">
        <v>22</v>
      </c>
      <c r="K176" s="1">
        <v>8</v>
      </c>
    </row>
    <row r="177" spans="1:11" x14ac:dyDescent="0.2">
      <c r="A177" s="40">
        <v>175</v>
      </c>
      <c r="B177" s="17" t="s">
        <v>19</v>
      </c>
      <c r="C177" s="17" t="s">
        <v>15</v>
      </c>
      <c r="D177" s="18">
        <v>52.521131220325465</v>
      </c>
      <c r="E177" s="19">
        <v>25</v>
      </c>
      <c r="F177" s="33">
        <v>2440.367303250518</v>
      </c>
      <c r="G177" s="53">
        <v>5.58</v>
      </c>
      <c r="H177" s="48">
        <v>0.7595473914748635</v>
      </c>
      <c r="I177" s="14">
        <v>4.71</v>
      </c>
      <c r="J177" s="15">
        <v>22</v>
      </c>
      <c r="K177" s="1">
        <v>8</v>
      </c>
    </row>
    <row r="178" spans="1:11" x14ac:dyDescent="0.2">
      <c r="A178" s="40">
        <v>176</v>
      </c>
      <c r="B178" s="17" t="s">
        <v>13</v>
      </c>
      <c r="C178" s="17" t="s">
        <v>15</v>
      </c>
      <c r="D178" s="18">
        <v>5.0929581789406511</v>
      </c>
      <c r="E178" s="19">
        <v>2.8</v>
      </c>
      <c r="F178" s="33">
        <v>2.0249404195813816</v>
      </c>
      <c r="G178" s="53">
        <v>5.58</v>
      </c>
      <c r="H178" s="48">
        <v>0.7595473914748635</v>
      </c>
      <c r="I178" s="14">
        <v>4.71</v>
      </c>
      <c r="J178" s="15">
        <v>22</v>
      </c>
      <c r="K178" s="1">
        <v>8</v>
      </c>
    </row>
    <row r="179" spans="1:11" x14ac:dyDescent="0.2">
      <c r="A179" s="40">
        <v>177</v>
      </c>
      <c r="B179" s="17" t="s">
        <v>13</v>
      </c>
      <c r="C179" s="17" t="s">
        <v>15</v>
      </c>
      <c r="D179" s="18">
        <v>3.183098861837907</v>
      </c>
      <c r="E179" s="19">
        <v>1.95</v>
      </c>
      <c r="F179" s="33">
        <v>3.3459210713401681E-2</v>
      </c>
      <c r="G179" s="53">
        <v>5.58</v>
      </c>
      <c r="H179" s="48">
        <v>0.7595473914748635</v>
      </c>
      <c r="I179" s="14">
        <v>4.71</v>
      </c>
      <c r="J179" s="15">
        <v>22</v>
      </c>
      <c r="K179" s="1">
        <v>8</v>
      </c>
    </row>
    <row r="180" spans="1:11" x14ac:dyDescent="0.2">
      <c r="A180" s="40">
        <v>178</v>
      </c>
      <c r="B180" s="17" t="s">
        <v>13</v>
      </c>
      <c r="C180" s="17" t="s">
        <v>15</v>
      </c>
      <c r="D180" s="18">
        <v>3.8197186342054881</v>
      </c>
      <c r="E180" s="19">
        <v>2.8</v>
      </c>
      <c r="F180" s="33">
        <v>1.1548666378830439</v>
      </c>
      <c r="G180" s="54">
        <v>3.05</v>
      </c>
      <c r="H180" s="46">
        <v>0.50040242353818787</v>
      </c>
      <c r="I180" s="14">
        <v>5.07</v>
      </c>
      <c r="J180" s="15">
        <v>12</v>
      </c>
      <c r="K180" s="1">
        <v>8</v>
      </c>
    </row>
    <row r="181" spans="1:11" x14ac:dyDescent="0.2">
      <c r="A181" s="40">
        <v>179</v>
      </c>
      <c r="B181" s="17" t="s">
        <v>30</v>
      </c>
      <c r="C181" s="17" t="s">
        <v>16</v>
      </c>
      <c r="D181" s="18">
        <v>31.512678732195276</v>
      </c>
      <c r="E181" s="19">
        <v>28</v>
      </c>
      <c r="F181" s="33">
        <v>744.91934694999964</v>
      </c>
      <c r="G181" s="54">
        <v>3.05</v>
      </c>
      <c r="H181" s="46">
        <v>0.50040242353818787</v>
      </c>
      <c r="I181" s="14">
        <v>5.07</v>
      </c>
      <c r="J181" s="15">
        <v>12</v>
      </c>
      <c r="K181" s="1">
        <v>8</v>
      </c>
    </row>
    <row r="182" spans="1:11" x14ac:dyDescent="0.2">
      <c r="A182" s="40">
        <v>180</v>
      </c>
      <c r="B182" s="17" t="s">
        <v>30</v>
      </c>
      <c r="C182" s="17" t="s">
        <v>16</v>
      </c>
      <c r="D182" s="18">
        <v>31.830988618379067</v>
      </c>
      <c r="E182" s="19">
        <v>28</v>
      </c>
      <c r="F182" s="33">
        <v>759.67765790742544</v>
      </c>
      <c r="G182" s="54">
        <v>3.05</v>
      </c>
      <c r="H182" s="46">
        <v>0.50040242353818787</v>
      </c>
      <c r="I182" s="14">
        <v>5.07</v>
      </c>
      <c r="J182" s="15">
        <v>12</v>
      </c>
      <c r="K182" s="1">
        <v>8</v>
      </c>
    </row>
    <row r="183" spans="1:11" x14ac:dyDescent="0.2">
      <c r="A183" s="57">
        <v>181</v>
      </c>
      <c r="B183" s="17" t="s">
        <v>30</v>
      </c>
      <c r="C183" s="17" t="s">
        <v>16</v>
      </c>
      <c r="D183" s="18">
        <v>31.194368846011486</v>
      </c>
      <c r="E183" s="19">
        <v>28</v>
      </c>
      <c r="F183" s="33">
        <v>730.30227537572034</v>
      </c>
      <c r="G183" s="54">
        <v>3.05</v>
      </c>
      <c r="H183" s="46">
        <v>0.50040242353818787</v>
      </c>
      <c r="I183" s="14">
        <v>5.07</v>
      </c>
      <c r="J183" s="15">
        <v>12</v>
      </c>
      <c r="K183" s="1">
        <v>8</v>
      </c>
    </row>
    <row r="184" spans="1:11" x14ac:dyDescent="0.2">
      <c r="A184" s="40">
        <v>182</v>
      </c>
      <c r="B184" s="17" t="s">
        <v>30</v>
      </c>
      <c r="C184" s="17" t="s">
        <v>16</v>
      </c>
      <c r="D184" s="18">
        <v>33.104228163114229</v>
      </c>
      <c r="E184" s="19">
        <v>28</v>
      </c>
      <c r="F184" s="33">
        <v>820.12194371786222</v>
      </c>
      <c r="G184" s="54">
        <v>3.05</v>
      </c>
      <c r="H184" s="46">
        <v>0.50040242353818787</v>
      </c>
      <c r="I184" s="14">
        <v>5.07</v>
      </c>
      <c r="J184" s="15">
        <v>12</v>
      </c>
      <c r="K184" s="1">
        <v>8</v>
      </c>
    </row>
    <row r="185" spans="1:11" x14ac:dyDescent="0.2">
      <c r="A185" s="40">
        <v>183</v>
      </c>
      <c r="B185" s="17" t="s">
        <v>30</v>
      </c>
      <c r="C185" s="17" t="s">
        <v>16</v>
      </c>
      <c r="D185" s="18">
        <v>35.969017138768351</v>
      </c>
      <c r="E185" s="19">
        <v>28</v>
      </c>
      <c r="F185" s="33">
        <v>964.35841765459782</v>
      </c>
      <c r="G185" s="54">
        <v>3.05</v>
      </c>
      <c r="H185" s="46">
        <v>0.50040242353818787</v>
      </c>
      <c r="I185" s="14">
        <v>5.07</v>
      </c>
      <c r="J185" s="15">
        <v>12</v>
      </c>
      <c r="K185" s="1">
        <v>8</v>
      </c>
    </row>
    <row r="186" spans="1:11" x14ac:dyDescent="0.2">
      <c r="A186" s="40">
        <v>184</v>
      </c>
      <c r="B186" s="17" t="s">
        <v>30</v>
      </c>
      <c r="C186" s="17" t="s">
        <v>16</v>
      </c>
      <c r="D186" s="18">
        <v>25.146481008519466</v>
      </c>
      <c r="E186" s="19">
        <v>28</v>
      </c>
      <c r="F186" s="33">
        <v>479.5097433572667</v>
      </c>
      <c r="G186" s="54">
        <v>3.05</v>
      </c>
      <c r="H186" s="46">
        <v>0.50040242353818787</v>
      </c>
      <c r="I186" s="14">
        <v>5.07</v>
      </c>
      <c r="J186" s="15">
        <v>12</v>
      </c>
      <c r="K186" s="1">
        <v>8</v>
      </c>
    </row>
    <row r="187" spans="1:11" x14ac:dyDescent="0.2">
      <c r="A187" s="40">
        <v>185</v>
      </c>
      <c r="B187" s="17" t="s">
        <v>30</v>
      </c>
      <c r="C187" s="17" t="s">
        <v>16</v>
      </c>
      <c r="D187" s="18">
        <v>37.242256683503513</v>
      </c>
      <c r="E187" s="19">
        <v>28</v>
      </c>
      <c r="F187" s="33">
        <v>1032.1151576167563</v>
      </c>
      <c r="G187" s="54">
        <v>3.05</v>
      </c>
      <c r="H187" s="46">
        <v>0.50040242353818787</v>
      </c>
      <c r="I187" s="14">
        <v>5.07</v>
      </c>
      <c r="J187" s="15">
        <v>12</v>
      </c>
      <c r="K187" s="1">
        <v>8</v>
      </c>
    </row>
    <row r="188" spans="1:11" x14ac:dyDescent="0.2">
      <c r="A188" s="40">
        <v>186</v>
      </c>
      <c r="B188" s="17" t="s">
        <v>30</v>
      </c>
      <c r="C188" s="17" t="s">
        <v>16</v>
      </c>
      <c r="D188" s="18">
        <v>34.695777594033181</v>
      </c>
      <c r="E188" s="19">
        <v>28</v>
      </c>
      <c r="F188" s="33">
        <v>898.8472167581981</v>
      </c>
      <c r="G188" s="54">
        <v>3.05</v>
      </c>
      <c r="H188" s="46">
        <v>0.50040242353818787</v>
      </c>
      <c r="I188" s="14">
        <v>5.07</v>
      </c>
      <c r="J188" s="15">
        <v>12</v>
      </c>
      <c r="K188" s="1">
        <v>8</v>
      </c>
    </row>
    <row r="189" spans="1:11" x14ac:dyDescent="0.2">
      <c r="A189" s="40">
        <v>187</v>
      </c>
      <c r="B189" s="17" t="s">
        <v>19</v>
      </c>
      <c r="C189" s="17" t="s">
        <v>16</v>
      </c>
      <c r="D189" s="18">
        <v>1.5915494309189535</v>
      </c>
      <c r="E189" s="19">
        <v>2.2000000000000002</v>
      </c>
      <c r="F189" s="33">
        <v>0.2472470251598213</v>
      </c>
      <c r="G189" s="54">
        <v>3.05</v>
      </c>
      <c r="H189" s="46">
        <v>0.50040242353818787</v>
      </c>
      <c r="I189" s="14">
        <v>5.07</v>
      </c>
      <c r="J189" s="15">
        <v>12</v>
      </c>
      <c r="K189" s="1">
        <v>8</v>
      </c>
    </row>
    <row r="190" spans="1:11" x14ac:dyDescent="0.2">
      <c r="A190" s="40">
        <v>188</v>
      </c>
      <c r="B190" s="17" t="s">
        <v>19</v>
      </c>
      <c r="C190" s="17" t="s">
        <v>16</v>
      </c>
      <c r="D190" s="18">
        <v>2.5464790894703255</v>
      </c>
      <c r="E190" s="19">
        <v>3.2</v>
      </c>
      <c r="F190" s="33">
        <v>0.89206217196497295</v>
      </c>
      <c r="G190" s="54">
        <v>3.05</v>
      </c>
      <c r="H190" s="46">
        <v>0.50040242353818787</v>
      </c>
      <c r="I190" s="14">
        <v>5.07</v>
      </c>
      <c r="J190" s="15">
        <v>12</v>
      </c>
      <c r="K190" s="1">
        <v>8</v>
      </c>
    </row>
    <row r="191" spans="1:11" x14ac:dyDescent="0.2">
      <c r="A191" s="40">
        <v>189</v>
      </c>
      <c r="B191" s="12" t="s">
        <v>19</v>
      </c>
      <c r="C191" s="12" t="s">
        <v>16</v>
      </c>
      <c r="D191" s="16">
        <f>1*2.54/PI()</f>
        <v>0.80850711090682836</v>
      </c>
      <c r="E191" s="16">
        <v>2.0299999999999998</v>
      </c>
      <c r="F191" s="22">
        <v>0.51280554914074394</v>
      </c>
      <c r="G191" s="13">
        <v>4.1100000000000003</v>
      </c>
      <c r="H191" s="14">
        <v>1.52</v>
      </c>
      <c r="I191" s="14">
        <v>5.22</v>
      </c>
      <c r="J191" s="23">
        <v>12</v>
      </c>
      <c r="K191" s="1">
        <v>10</v>
      </c>
    </row>
    <row r="192" spans="1:11" x14ac:dyDescent="0.2">
      <c r="A192" s="40">
        <v>190</v>
      </c>
      <c r="B192" s="12" t="s">
        <v>17</v>
      </c>
      <c r="C192" s="12" t="s">
        <v>16</v>
      </c>
      <c r="D192" s="16">
        <f>2.54*1.3/PI()</f>
        <v>1.0510592441788769</v>
      </c>
      <c r="E192" s="16">
        <v>1.7</v>
      </c>
      <c r="F192" s="22">
        <v>2.1547660237245618</v>
      </c>
      <c r="G192" s="13">
        <v>4.1100000000000003</v>
      </c>
      <c r="H192" s="14">
        <v>1.52</v>
      </c>
      <c r="I192" s="14">
        <v>5.22</v>
      </c>
      <c r="J192" s="23">
        <v>12</v>
      </c>
      <c r="K192" s="1">
        <v>10</v>
      </c>
    </row>
    <row r="193" spans="1:11" x14ac:dyDescent="0.2">
      <c r="A193" s="57">
        <v>191</v>
      </c>
      <c r="B193" s="12" t="s">
        <v>19</v>
      </c>
      <c r="C193" s="12" t="s">
        <v>16</v>
      </c>
      <c r="D193" s="16">
        <f>2.54*2/PI()</f>
        <v>1.6170142218136567</v>
      </c>
      <c r="E193" s="16">
        <v>2.98</v>
      </c>
      <c r="F193" s="22">
        <v>2.9606762170643477</v>
      </c>
      <c r="G193" s="13">
        <v>4.1100000000000003</v>
      </c>
      <c r="H193" s="14">
        <v>1.52</v>
      </c>
      <c r="I193" s="14">
        <v>5.22</v>
      </c>
      <c r="J193" s="23">
        <v>12</v>
      </c>
      <c r="K193" s="1">
        <v>10</v>
      </c>
    </row>
    <row r="194" spans="1:11" x14ac:dyDescent="0.2">
      <c r="A194" s="40">
        <v>192</v>
      </c>
      <c r="B194" s="12" t="s">
        <v>24</v>
      </c>
      <c r="C194" s="12" t="s">
        <v>16</v>
      </c>
      <c r="D194" s="16">
        <f>2.54*1.92/PI()</f>
        <v>1.5523336529411105</v>
      </c>
      <c r="E194" s="16">
        <v>3.08</v>
      </c>
      <c r="F194" s="22">
        <v>2.7748177971263197</v>
      </c>
      <c r="G194" s="13">
        <v>4.1100000000000003</v>
      </c>
      <c r="H194" s="14">
        <v>1.52</v>
      </c>
      <c r="I194" s="14">
        <v>5.22</v>
      </c>
      <c r="J194" s="23">
        <v>12</v>
      </c>
      <c r="K194" s="1">
        <v>10</v>
      </c>
    </row>
    <row r="195" spans="1:11" x14ac:dyDescent="0.2">
      <c r="A195" s="40">
        <v>193</v>
      </c>
      <c r="B195" s="12" t="s">
        <v>13</v>
      </c>
      <c r="C195" s="12" t="s">
        <v>16</v>
      </c>
      <c r="D195" s="16">
        <f>2.54*41.5/PI()</f>
        <v>33.553045102633376</v>
      </c>
      <c r="E195" s="16">
        <v>29.82</v>
      </c>
      <c r="F195" s="22">
        <v>3510.6909380212273</v>
      </c>
      <c r="G195" s="13">
        <v>4.1100000000000003</v>
      </c>
      <c r="H195" s="14">
        <v>1.52</v>
      </c>
      <c r="I195" s="14">
        <v>5.22</v>
      </c>
      <c r="J195" s="23">
        <v>12</v>
      </c>
      <c r="K195" s="1">
        <v>10</v>
      </c>
    </row>
    <row r="196" spans="1:11" x14ac:dyDescent="0.2">
      <c r="A196" s="40">
        <v>194</v>
      </c>
      <c r="B196" s="12" t="s">
        <v>13</v>
      </c>
      <c r="C196" s="12" t="s">
        <v>16</v>
      </c>
      <c r="D196" s="16">
        <f>2.54*44.5/PI()</f>
        <v>35.978566435353862</v>
      </c>
      <c r="E196" s="16">
        <v>30</v>
      </c>
      <c r="F196" s="22">
        <v>3885.8833872526807</v>
      </c>
      <c r="G196" s="13">
        <v>4.1100000000000003</v>
      </c>
      <c r="H196" s="14">
        <v>1.52</v>
      </c>
      <c r="I196" s="14">
        <v>5.22</v>
      </c>
      <c r="J196" s="23">
        <v>12</v>
      </c>
      <c r="K196" s="1">
        <v>10</v>
      </c>
    </row>
    <row r="197" spans="1:11" x14ac:dyDescent="0.2">
      <c r="A197" s="40">
        <v>195</v>
      </c>
      <c r="B197" s="12" t="s">
        <v>24</v>
      </c>
      <c r="C197" s="12" t="s">
        <v>16</v>
      </c>
      <c r="D197" s="16">
        <f>2.54*1.8/PI()</f>
        <v>1.455312799632291</v>
      </c>
      <c r="E197" s="16">
        <v>3.2</v>
      </c>
      <c r="F197" s="22">
        <v>4.694470871971399</v>
      </c>
      <c r="G197" s="13">
        <v>4.1100000000000003</v>
      </c>
      <c r="H197" s="14">
        <v>1.52</v>
      </c>
      <c r="I197" s="14">
        <v>5.22</v>
      </c>
      <c r="J197" s="23">
        <v>12</v>
      </c>
      <c r="K197" s="1">
        <v>10</v>
      </c>
    </row>
    <row r="198" spans="1:11" x14ac:dyDescent="0.2">
      <c r="A198" s="40">
        <v>196</v>
      </c>
      <c r="B198" s="12" t="s">
        <v>24</v>
      </c>
      <c r="C198" s="12" t="s">
        <v>16</v>
      </c>
      <c r="D198" s="16">
        <f>2.54*1.4/PI()</f>
        <v>1.1319099552695595</v>
      </c>
      <c r="E198" s="16">
        <v>2.5099999999999998</v>
      </c>
      <c r="F198" s="22">
        <v>2.5728522555075206</v>
      </c>
      <c r="G198" s="13">
        <v>4.1100000000000003</v>
      </c>
      <c r="H198" s="14">
        <v>1.52</v>
      </c>
      <c r="I198" s="14">
        <v>5.22</v>
      </c>
      <c r="J198" s="23">
        <v>12</v>
      </c>
      <c r="K198" s="1">
        <v>10</v>
      </c>
    </row>
    <row r="199" spans="1:11" x14ac:dyDescent="0.2">
      <c r="A199" s="40">
        <v>197</v>
      </c>
      <c r="B199" s="12" t="s">
        <v>12</v>
      </c>
      <c r="C199" s="12" t="s">
        <v>15</v>
      </c>
      <c r="D199" s="16">
        <f>2.54*1.9/PI()</f>
        <v>1.5361635107229736</v>
      </c>
      <c r="E199" s="16">
        <v>1.69</v>
      </c>
      <c r="F199" s="22">
        <v>0.91491999333899399</v>
      </c>
      <c r="G199" s="13">
        <v>5.75</v>
      </c>
      <c r="H199" s="14">
        <v>1.06</v>
      </c>
      <c r="I199" s="14">
        <v>5.04</v>
      </c>
      <c r="J199" s="23">
        <v>40</v>
      </c>
      <c r="K199" s="1">
        <v>10</v>
      </c>
    </row>
    <row r="200" spans="1:11" x14ac:dyDescent="0.2">
      <c r="A200" s="40">
        <v>198</v>
      </c>
      <c r="B200" s="12" t="s">
        <v>13</v>
      </c>
      <c r="C200" s="12" t="s">
        <v>15</v>
      </c>
      <c r="D200" s="16">
        <f>2.54*4.2/PI()</f>
        <v>3.3957298658086792</v>
      </c>
      <c r="E200" s="16">
        <v>2.92</v>
      </c>
      <c r="F200" s="22">
        <v>5.7945039466056594</v>
      </c>
      <c r="G200" s="13">
        <v>5.75</v>
      </c>
      <c r="H200" s="14">
        <v>1.06</v>
      </c>
      <c r="I200" s="14">
        <v>5.04</v>
      </c>
      <c r="J200" s="23">
        <v>40</v>
      </c>
      <c r="K200" s="1">
        <v>10</v>
      </c>
    </row>
    <row r="201" spans="1:11" x14ac:dyDescent="0.2">
      <c r="A201" s="40">
        <v>199</v>
      </c>
      <c r="B201" s="12" t="s">
        <v>13</v>
      </c>
      <c r="C201" s="12" t="s">
        <v>15</v>
      </c>
      <c r="D201" s="16">
        <f>2.54*5.5/PI()</f>
        <v>4.4467891099875558</v>
      </c>
      <c r="E201" s="16">
        <v>3.24</v>
      </c>
      <c r="F201" s="22">
        <v>9.6403605467863844</v>
      </c>
      <c r="G201" s="13">
        <v>5.75</v>
      </c>
      <c r="H201" s="14">
        <v>1.06</v>
      </c>
      <c r="I201" s="14">
        <v>5.04</v>
      </c>
      <c r="J201" s="23">
        <v>40</v>
      </c>
      <c r="K201" s="1">
        <v>10</v>
      </c>
    </row>
    <row r="202" spans="1:11" x14ac:dyDescent="0.2">
      <c r="A202" s="40">
        <v>200</v>
      </c>
      <c r="B202" s="12" t="s">
        <v>19</v>
      </c>
      <c r="C202" s="12" t="s">
        <v>15</v>
      </c>
      <c r="D202" s="16">
        <f>2.54*66.3/PI()</f>
        <v>53.604021453122712</v>
      </c>
      <c r="E202" s="16">
        <v>32.25</v>
      </c>
      <c r="F202" s="22">
        <v>28195.001960345762</v>
      </c>
      <c r="G202" s="13">
        <v>5.75</v>
      </c>
      <c r="H202" s="14">
        <v>1.06</v>
      </c>
      <c r="I202" s="14">
        <v>5.04</v>
      </c>
      <c r="J202" s="23">
        <v>40</v>
      </c>
      <c r="K202" s="1">
        <v>10</v>
      </c>
    </row>
    <row r="203" spans="1:11" x14ac:dyDescent="0.2">
      <c r="A203" s="57">
        <v>201</v>
      </c>
      <c r="B203" s="12" t="s">
        <v>13</v>
      </c>
      <c r="C203" s="12" t="s">
        <v>15</v>
      </c>
      <c r="D203" s="16">
        <f>2.54*2/PI()</f>
        <v>1.6170142218136567</v>
      </c>
      <c r="E203" s="16">
        <v>2.1</v>
      </c>
      <c r="F203" s="22">
        <v>1.3409663382390442</v>
      </c>
      <c r="G203" s="13">
        <v>5.75</v>
      </c>
      <c r="H203" s="14">
        <v>1.06</v>
      </c>
      <c r="I203" s="14">
        <v>5.04</v>
      </c>
      <c r="J203" s="23">
        <v>40</v>
      </c>
      <c r="K203" s="1">
        <v>10</v>
      </c>
    </row>
    <row r="204" spans="1:11" x14ac:dyDescent="0.2">
      <c r="A204" s="40">
        <v>202</v>
      </c>
      <c r="B204" s="12" t="s">
        <v>12</v>
      </c>
      <c r="C204" s="12" t="s">
        <v>15</v>
      </c>
      <c r="D204" s="16">
        <f>2.54*4.8/PI()</f>
        <v>3.880834132352776</v>
      </c>
      <c r="E204" s="16">
        <v>2.82</v>
      </c>
      <c r="F204" s="22">
        <v>6.5806373655637813</v>
      </c>
      <c r="G204" s="13">
        <v>5.75</v>
      </c>
      <c r="H204" s="14">
        <v>1.06</v>
      </c>
      <c r="I204" s="14">
        <v>5.04</v>
      </c>
      <c r="J204" s="23">
        <v>40</v>
      </c>
      <c r="K204" s="1">
        <v>10</v>
      </c>
    </row>
    <row r="205" spans="1:11" x14ac:dyDescent="0.2">
      <c r="A205" s="40">
        <v>203</v>
      </c>
      <c r="B205" s="12" t="s">
        <v>12</v>
      </c>
      <c r="C205" s="12" t="s">
        <v>15</v>
      </c>
      <c r="D205" s="16">
        <f>2.54*3.6/PI()</f>
        <v>2.910625599264582</v>
      </c>
      <c r="E205" s="16">
        <v>2.8</v>
      </c>
      <c r="F205" s="22">
        <v>4.4423957833047849</v>
      </c>
      <c r="G205" s="13">
        <v>5.75</v>
      </c>
      <c r="H205" s="14">
        <v>1.06</v>
      </c>
      <c r="I205" s="14">
        <v>5.04</v>
      </c>
      <c r="J205" s="23">
        <v>40</v>
      </c>
      <c r="K205" s="1">
        <v>10</v>
      </c>
    </row>
    <row r="206" spans="1:11" x14ac:dyDescent="0.2">
      <c r="A206" s="40">
        <v>204</v>
      </c>
      <c r="B206" s="12" t="s">
        <v>12</v>
      </c>
      <c r="C206" s="12" t="s">
        <v>15</v>
      </c>
      <c r="D206" s="16">
        <f>2.54*2.2/PI()</f>
        <v>1.7787156439950227</v>
      </c>
      <c r="E206" s="16">
        <v>1.92</v>
      </c>
      <c r="F206" s="22">
        <v>1.3372073748505846</v>
      </c>
      <c r="G206" s="13">
        <v>5.75</v>
      </c>
      <c r="H206" s="14">
        <v>1.06</v>
      </c>
      <c r="I206" s="14">
        <v>5.04</v>
      </c>
      <c r="J206" s="23">
        <v>40</v>
      </c>
      <c r="K206" s="1">
        <v>10</v>
      </c>
    </row>
    <row r="207" spans="1:11" x14ac:dyDescent="0.2">
      <c r="A207" s="40">
        <v>205</v>
      </c>
      <c r="B207" s="12" t="s">
        <v>12</v>
      </c>
      <c r="C207" s="12" t="s">
        <v>15</v>
      </c>
      <c r="D207" s="16">
        <f>2.54*2.1/PI()</f>
        <v>1.6978649329043396</v>
      </c>
      <c r="E207" s="16">
        <v>1.93</v>
      </c>
      <c r="F207" s="22">
        <v>1.2664514086724332</v>
      </c>
      <c r="G207" s="13">
        <v>5.75</v>
      </c>
      <c r="H207" s="14">
        <v>1.06</v>
      </c>
      <c r="I207" s="14">
        <v>5.04</v>
      </c>
      <c r="J207" s="23">
        <v>40</v>
      </c>
      <c r="K207" s="1">
        <v>10</v>
      </c>
    </row>
    <row r="208" spans="1:11" x14ac:dyDescent="0.2">
      <c r="A208" s="40">
        <v>206</v>
      </c>
      <c r="B208" s="12" t="s">
        <v>19</v>
      </c>
      <c r="C208" s="12" t="s">
        <v>15</v>
      </c>
      <c r="D208" s="16">
        <f>2.54*63.8/PI()</f>
        <v>51.582753675855642</v>
      </c>
      <c r="E208" s="16">
        <v>25.54</v>
      </c>
      <c r="F208" s="22">
        <v>22097.424132666936</v>
      </c>
      <c r="G208" s="13">
        <v>5.75</v>
      </c>
      <c r="H208" s="14">
        <v>1.06</v>
      </c>
      <c r="I208" s="14">
        <v>5.04</v>
      </c>
      <c r="J208" s="23">
        <v>40</v>
      </c>
      <c r="K208" s="1">
        <v>10</v>
      </c>
    </row>
    <row r="209" spans="1:11" x14ac:dyDescent="0.2">
      <c r="A209" s="40">
        <v>207</v>
      </c>
      <c r="B209" s="12" t="s">
        <v>12</v>
      </c>
      <c r="C209" s="12" t="s">
        <v>15</v>
      </c>
      <c r="D209" s="16">
        <f>2.54*6.5/PI()</f>
        <v>5.255296220894385</v>
      </c>
      <c r="E209" s="16">
        <v>4.33</v>
      </c>
      <c r="F209" s="22">
        <v>18.310758401659434</v>
      </c>
      <c r="G209" s="13">
        <v>5.75</v>
      </c>
      <c r="H209" s="14">
        <v>1.06</v>
      </c>
      <c r="I209" s="14">
        <v>5.04</v>
      </c>
      <c r="J209" s="23">
        <v>40</v>
      </c>
      <c r="K209" s="1">
        <v>10</v>
      </c>
    </row>
    <row r="210" spans="1:11" x14ac:dyDescent="0.2">
      <c r="A210" s="40">
        <v>208</v>
      </c>
      <c r="B210" s="12" t="s">
        <v>13</v>
      </c>
      <c r="C210" s="12" t="s">
        <v>15</v>
      </c>
      <c r="D210" s="16">
        <f>2.54*18.1/PI()</f>
        <v>14.633978707413593</v>
      </c>
      <c r="E210" s="16">
        <v>12.82</v>
      </c>
      <c r="F210" s="22">
        <v>343.50505737048309</v>
      </c>
      <c r="G210" s="13">
        <v>5.75</v>
      </c>
      <c r="H210" s="14">
        <v>1.06</v>
      </c>
      <c r="I210" s="14">
        <v>5.04</v>
      </c>
      <c r="J210" s="23">
        <v>40</v>
      </c>
      <c r="K210" s="1">
        <v>10</v>
      </c>
    </row>
    <row r="211" spans="1:11" ht="17" thickBot="1" x14ac:dyDescent="0.25">
      <c r="A211" s="41">
        <v>209</v>
      </c>
      <c r="B211" s="12" t="s">
        <v>19</v>
      </c>
      <c r="C211" s="34" t="s">
        <v>15</v>
      </c>
      <c r="D211" s="35">
        <f>2.54*15.7/PI()</f>
        <v>12.693561641237205</v>
      </c>
      <c r="E211" s="35">
        <v>12.21</v>
      </c>
      <c r="F211" s="36">
        <v>654.1433481731118</v>
      </c>
      <c r="G211" s="55">
        <v>5.75</v>
      </c>
      <c r="H211" s="38">
        <v>1.06</v>
      </c>
      <c r="I211" s="38">
        <v>5.04</v>
      </c>
      <c r="J211" s="56">
        <v>40</v>
      </c>
      <c r="K211" s="1">
        <v>10</v>
      </c>
    </row>
  </sheetData>
  <mergeCells count="2">
    <mergeCell ref="G1:J1"/>
    <mergeCell ref="A1:F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Charlotte Grossiord</dc:creator>
  <cp:keywords/>
  <dc:description/>
  <cp:lastModifiedBy>Fang-Hsuan Chen</cp:lastModifiedBy>
  <cp:revision/>
  <dcterms:created xsi:type="dcterms:W3CDTF">2024-10-02T10:37:50Z</dcterms:created>
  <dcterms:modified xsi:type="dcterms:W3CDTF">2025-10-24T15:43:11Z</dcterms:modified>
  <cp:category/>
  <cp:contentStatus/>
</cp:coreProperties>
</file>